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hart3.xml" ContentType="application/vnd.openxmlformats-officedocument.drawingml.chart+xml"/>
  <Override PartName="/xl/charts/colors2.xml" ContentType="application/vnd.ms-office.chartcolorstyle+xml"/>
  <Override PartName="/xl/charts/chart1.xml" ContentType="application/vnd.openxmlformats-officedocument.drawingml.chart+xml"/>
  <Override PartName="/xl/charts/style1.xml" ContentType="application/vnd.ms-office.chartstyle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Unit economics" sheetId="2" state="visible" r:id="rId4"/>
    <sheet name="12-month projection" sheetId="3" state="visible" r:id="rId5"/>
    <sheet name="Scenarios" sheetId="4" state="visible" r:id="rId6"/>
    <sheet name="Rates &amp; sources" sheetId="5" state="visible" r:id="rId7"/>
  </sheets>
  <definedNames>
    <definedName function="false" hidden="false" localSheetId="2" name="_xlnm.Print_Area" vbProcedure="false">'12-month projection'!$A$1:$N$32</definedName>
    <definedName function="false" hidden="false" localSheetId="4" name="_xlnm.Print_Area" vbProcedure="false">'Rates &amp; sources'!$A$1:$F$40</definedName>
    <definedName function="false" hidden="false" localSheetId="3" name="_xlnm.Print_Area" vbProcedure="false">Scenarios!$A$1:$H$32</definedName>
    <definedName function="false" hidden="false" localSheetId="0" name="_xlnm.Print_Area" vbProcedure="false">'Start here'!$A$1:$G$30</definedName>
    <definedName function="false" hidden="false" localSheetId="1" name="_xlnm.Print_Area" vbProcedure="false">'Unit economics'!$A$1:$J$68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<sst xmlns="http://schemas.openxmlformats.org/spreadsheetml/2006/main" count="288" uniqueCount="234">
  <si>
    <t xml:space="preserve">TidyPayouts</t>
  </si>
  <si>
    <t xml:space="preserve">FREE SELLER SPREADSHEET</t>
  </si>
  <si>
    <t xml:space="preserve">Product Profit Margin Calculator</t>
  </si>
  <si>
    <t xml:space="preserve">Go past the unit price. Add landed cost, Amazon fees, ads, giveaways and the money you spent before launch, then see the true unit margin and a 12-month cash view.</t>
  </si>
  <si>
    <t xml:space="preserve">Version 1.0  ·  Updated October 2026  ·  tidypayouts.com/spreadsheets</t>
  </si>
  <si>
    <t xml:space="preserve">HOW TO USE IT</t>
  </si>
  <si>
    <t xml:space="preserve">1  Start with the real numbers</t>
  </si>
  <si>
    <t xml:space="preserve">Enter the selling price, how many units you ordered and how many you have sold. Use the supplier invoice for COGS and the freight bill for inbound cost — not an estimate from a listing.</t>
  </si>
  <si>
    <t xml:space="preserve">2  Build the landed cost</t>
  </si>
  <si>
    <t xml:space="preserve">COGS plus freight, duty, prep and any other cost that gets one unit to the fulfillment center. This is the number the business actually pays before Amazon takes its fees.</t>
  </si>
  <si>
    <t xml:space="preserve">3  Add Amazon and marketing</t>
  </si>
  <si>
    <t xml:space="preserve">Enter the referral percentage and the fulfillment fee per unit. Add total ad spend and giveaway cost. The sheet spreads them across units sold, not units ordered.</t>
  </si>
  <si>
    <t xml:space="preserve">4  See the unit economics</t>
  </si>
  <si>
    <t xml:space="preserve">Profit, margin, markup, ROI, break-even units and the price needed for a target margin all update. The right-hand panel shows the headline numbers.</t>
  </si>
  <si>
    <t xml:space="preserve">5  Look at the 12-month view</t>
  </si>
  <si>
    <t xml:space="preserve">The projection starts from your current monthly run rate and applies a growth rate and a seasonality index you control. It is a planning view, not a promise.</t>
  </si>
  <si>
    <t xml:space="preserve">6  Test a different price</t>
  </si>
  <si>
    <t xml:space="preserve">The Scenarios sheet holds the same cost base and moves the price. Use it to see how much room you have before a product stops working.</t>
  </si>
  <si>
    <t xml:space="preserve">WHAT'S INSIDE</t>
  </si>
  <si>
    <t xml:space="preserve">Unit economics</t>
  </si>
  <si>
    <t xml:space="preserve">The full per-unit build-up and the headline profit, margin, ROI and break-even numbers.</t>
  </si>
  <si>
    <t xml:space="preserve">12-month projection</t>
  </si>
  <si>
    <t xml:space="preserve">Monthly units, revenue, costs, net profit and cumulative profit with editable growth and seasonality.</t>
  </si>
  <si>
    <t xml:space="preserve">Scenarios</t>
  </si>
  <si>
    <t xml:space="preserve">Five price points side by side, plus the price needed for a target net margin.</t>
  </si>
  <si>
    <t xml:space="preserve">Rates &amp; sources</t>
  </si>
  <si>
    <t xml:space="preserve">Common 2026 Amazon referral rates, fulfillment fee bands and the sources to verify them.</t>
  </si>
  <si>
    <t xml:space="preserve">BEFORE YOU TRUST THE MARGIN</t>
  </si>
  <si>
    <t xml:space="preserve">•  The per-unit view uses units sold, not units ordered. Inventory you have not sold yet is cash tied up, not a cost of the units you did sell. The Profit so far block separates the two.</t>
  </si>
  <si>
    <t xml:space="preserve">•  The upfront costs (samples, design, photography) are expensed in the Profit so far block. If your accountant capitalises them into inventory, the book profit will differ; the unit margin is unaffected.</t>
  </si>
  <si>
    <t xml:space="preserve">•  Amazon fees change. The referral percentage and fulfillment fee here are simple inputs; use the FBA Profit &amp; Fee Calculator for a size-tier and weight-based estimate.</t>
  </si>
  <si>
    <t xml:space="preserve">•  This is a planning tool, not tax or accounting advice. Use it to make a better decision, then check the result with your accountant.</t>
  </si>
  <si>
    <t xml:space="preserve">SOURCES</t>
  </si>
  <si>
    <t xml:space="preserve">TidyPayouts — Amazon FBA Profit &amp; Fee Calculator</t>
  </si>
  <si>
    <t xml:space="preserve">TidyPayouts — COGS for marketplace sellers</t>
  </si>
  <si>
    <t xml:space="preserve">Amazon Revenue Calculator</t>
  </si>
  <si>
    <t xml:space="preserve">The product, unit by unit</t>
  </si>
  <si>
    <t xml:space="preserve">Every pale-yellow cell is an input. The grey cells calculate; the green cells are the answer. Use units sold — not units ordered — for the per-unit marketing costs.</t>
  </si>
  <si>
    <t xml:space="preserve">PRODUCT &amp; PRICE</t>
  </si>
  <si>
    <t xml:space="preserve">AT A GLANCE</t>
  </si>
  <si>
    <t xml:space="preserve">Product name</t>
  </si>
  <si>
    <t xml:space="preserve">Stoneware Mug — 12 oz</t>
  </si>
  <si>
    <t xml:space="preserve">A label for this model.</t>
  </si>
  <si>
    <t xml:space="preserve">Net profit / unit</t>
  </si>
  <si>
    <t xml:space="preserve">Selling price (USD)</t>
  </si>
  <si>
    <t xml:space="preserve">The item price you charge.</t>
  </si>
  <si>
    <t xml:space="preserve">Units ordered</t>
  </si>
  <si>
    <t xml:space="preserve">The purchase order quantity.</t>
  </si>
  <si>
    <t xml:space="preserve">Net margin</t>
  </si>
  <si>
    <t xml:space="preserve">Units sold to date</t>
  </si>
  <si>
    <t xml:space="preserve">Units actually sold, not shipped to Amazon.</t>
  </si>
  <si>
    <t xml:space="preserve">Months since launch</t>
  </si>
  <si>
    <t xml:space="preserve">Used for the monthly run rate and fixed costs.</t>
  </si>
  <si>
    <t xml:space="preserve">ROI on landed cost</t>
  </si>
  <si>
    <t xml:space="preserve">Target net margin</t>
  </si>
  <si>
    <t xml:space="preserve">Used to calculate the price you would need to charge.</t>
  </si>
  <si>
    <t xml:space="preserve">Break-even units</t>
  </si>
  <si>
    <t xml:space="preserve">LANDED COST</t>
  </si>
  <si>
    <t xml:space="preserve">COGS total (all units ordered)</t>
  </si>
  <si>
    <t xml:space="preserve">What you paid the supplier for the whole order.</t>
  </si>
  <si>
    <t xml:space="preserve">Profit so far</t>
  </si>
  <si>
    <t xml:space="preserve">Inbound freight total</t>
  </si>
  <si>
    <t xml:space="preserve">Ocean/air freight, port, trucking to Amazon.</t>
  </si>
  <si>
    <t xml:space="preserve">Duty / tariff rate</t>
  </si>
  <si>
    <t xml:space="preserve">The rate you actually pay. 7.5% is an example.</t>
  </si>
  <si>
    <t xml:space="preserve">Cash tied up</t>
  </si>
  <si>
    <t xml:space="preserve">Duty total</t>
  </si>
  <si>
    <t xml:space="preserve">Calculated from the COGS total × duty rate.</t>
  </si>
  <si>
    <t xml:space="preserve">Prep / labeling total</t>
  </si>
  <si>
    <t xml:space="preserve">FNSKU labels, poly bags, bundling.</t>
  </si>
  <si>
    <t xml:space="preserve">Other landed cost total</t>
  </si>
  <si>
    <t xml:space="preserve">Inspection, inserts, anything else before inbound.</t>
  </si>
  <si>
    <t xml:space="preserve">Landed cost total</t>
  </si>
  <si>
    <t xml:space="preserve">Everything it costs to get the order into Amazon.</t>
  </si>
  <si>
    <t xml:space="preserve">Landed cost per unit</t>
  </si>
  <si>
    <t xml:space="preserve">COGS per unit</t>
  </si>
  <si>
    <t xml:space="preserve">AMAZON FEES PER UNIT</t>
  </si>
  <si>
    <t xml:space="preserve">Referral fee %</t>
  </si>
  <si>
    <t xml:space="preserve">Use the category rate from the Rate card or your exact fee.</t>
  </si>
  <si>
    <t xml:space="preserve">Fulfillment fee per unit</t>
  </si>
  <si>
    <t xml:space="preserve">From Seller Central's fee preview or the FBA calculator.</t>
  </si>
  <si>
    <t xml:space="preserve">Other Amazon fee per unit</t>
  </si>
  <si>
    <t xml:space="preserve">Storage, placement, returns or a subscription allocation.</t>
  </si>
  <si>
    <t xml:space="preserve">Total Amazon fees per unit</t>
  </si>
  <si>
    <t xml:space="preserve">MARKETING &amp; GIVEAWAYS</t>
  </si>
  <si>
    <t xml:space="preserve">Ad spend total</t>
  </si>
  <si>
    <t xml:space="preserve">Everything spent on ads for this product so far.</t>
  </si>
  <si>
    <t xml:space="preserve">Ad cost per unit sold</t>
  </si>
  <si>
    <t xml:space="preserve">Giveaway units</t>
  </si>
  <si>
    <t xml:space="preserve">Units given away for reviews or promotions.</t>
  </si>
  <si>
    <t xml:space="preserve">Giveaway cost per unit</t>
  </si>
  <si>
    <t xml:space="preserve">Your landed cost plus any shipping for a giveaway.</t>
  </si>
  <si>
    <t xml:space="preserve">Giveaway cost per unit sold</t>
  </si>
  <si>
    <t xml:space="preserve">Component</t>
  </si>
  <si>
    <t xml:space="preserve">Amount</t>
  </si>
  <si>
    <t xml:space="preserve">UPFRONT &amp; FIXED COSTS</t>
  </si>
  <si>
    <t xml:space="preserve">Landed cost</t>
  </si>
  <si>
    <t xml:space="preserve">Samples</t>
  </si>
  <si>
    <t xml:space="preserve">All samples, not per unit.</t>
  </si>
  <si>
    <t xml:space="preserve">Amazon fees</t>
  </si>
  <si>
    <t xml:space="preserve">Graphic design</t>
  </si>
  <si>
    <t xml:space="preserve">Label, packaging, listing images.</t>
  </si>
  <si>
    <t xml:space="preserve">Advertising</t>
  </si>
  <si>
    <t xml:space="preserve">Photography</t>
  </si>
  <si>
    <t xml:space="preserve">Product and lifestyle photography.</t>
  </si>
  <si>
    <t xml:space="preserve">Giveaways</t>
  </si>
  <si>
    <t xml:space="preserve">Listing / other upfront</t>
  </si>
  <si>
    <t xml:space="preserve">Any other one-time launch cost.</t>
  </si>
  <si>
    <t xml:space="preserve">Net profit</t>
  </si>
  <si>
    <t xml:space="preserve">Total upfront costs</t>
  </si>
  <si>
    <t xml:space="preserve">Monthly fixed costs</t>
  </si>
  <si>
    <t xml:space="preserve">Software, VA, subscriptions — costs that do not move with one unit.</t>
  </si>
  <si>
    <t xml:space="preserve">UNIT ECONOMICS</t>
  </si>
  <si>
    <t xml:space="preserve">Revenue per unit</t>
  </si>
  <si>
    <t xml:space="preserve">Total cost per unit</t>
  </si>
  <si>
    <t xml:space="preserve">Net profit per unit</t>
  </si>
  <si>
    <t xml:space="preserve">Markup on total cost</t>
  </si>
  <si>
    <t xml:space="preserve">Break-even units (recover upfront)</t>
  </si>
  <si>
    <t xml:space="preserve">Break-even price (approximate)</t>
  </si>
  <si>
    <t xml:space="preserve">Price needed for target margin</t>
  </si>
  <si>
    <t xml:space="preserve">Payback progress</t>
  </si>
  <si>
    <t xml:space="preserve">PROFIT SO FAR</t>
  </si>
  <si>
    <t xml:space="preserve">Revenue from units sold</t>
  </si>
  <si>
    <t xml:space="preserve">COGS for units sold</t>
  </si>
  <si>
    <t xml:space="preserve">Upfront costs (expensed)</t>
  </si>
  <si>
    <t xml:space="preserve">Fixed costs to date</t>
  </si>
  <si>
    <t xml:space="preserve">Net profit so far</t>
  </si>
  <si>
    <t xml:space="preserve">Cash tied up in unsold inventory</t>
  </si>
  <si>
    <t xml:space="preserve">A balance-sheet number, not an expense. It becomes a cost when the unit sells.</t>
  </si>
  <si>
    <t xml:space="preserve">WHAT THIS MEANS</t>
  </si>
  <si>
    <t xml:space="preserve">Twelve months, one line at a time</t>
  </si>
  <si>
    <t xml:space="preserve">The projection starts from your current monthly run rate. Change the growth rate or the seasonality index to see a different year.</t>
  </si>
  <si>
    <t xml:space="preserve">Starting monthly units</t>
  </si>
  <si>
    <t xml:space="preserve">Monthly unit growth</t>
  </si>
  <si>
    <t xml:space="preserve">Seasonality index — 1.00 is a normal month; 1.30 is 30% above normal. Change any month without changing the others.</t>
  </si>
  <si>
    <t xml:space="preserve">MONTHLY PLAN</t>
  </si>
  <si>
    <t xml:space="preserve">Seasonality index</t>
  </si>
  <si>
    <t xml:space="preserve">Line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</si>
  <si>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</si>
  <si>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</si>
  <si>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</si>
  <si>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</si>
  <si>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</si>
  <si>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</si>
  <si>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</si>
  <si>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</si>
  <si>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</si>
  <si>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</si>
  <si>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</si>
  <si>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</si>
  <si>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</si>
  <si>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Units</t>
  </si>
  <si>
    <t xml:space="preserve">Revenue</t>
  </si>
  <si>
    <t xml:space="preserve">COGS</t>
  </si>
  <si>
    <t xml:space="preserve">Fixed costs</t>
  </si>
  <si>
    <t xml:space="preserve">Cumulative profit</t>
  </si>
  <si>
    <t xml:space="preserve">Same product, five prices</t>
  </si>
  <si>
    <t xml:space="preserve">The cost base stays the same while the price moves. The referral fee recalculates as a percentage; the other fees stay at the Unit economics values.</t>
  </si>
  <si>
    <t xml:space="preserve">Used for the price-needed check at the bottom of the table.</t>
  </si>
  <si>
    <t xml:space="preserve">Metric</t>
  </si>
  <si>
    <t xml:space="preserve">Price 1</t>
  </si>
  <si>
    <t xml:space="preserve">Price 2</t>
  </si>
  <si>
    <t xml:space="preserve">Price 3</t>
  </si>
  <si>
    <t xml:space="preserve">Price 4</t>
  </si>
  <si>
    <t xml:space="preserve">Price 5</t>
  </si>
  <si>
    <t xml:space="preserve">Selling price</t>
  </si>
  <si>
    <t xml:space="preserve">Referral fee</t>
  </si>
  <si>
    <t xml:space="preserve">Fulfillment fee</t>
  </si>
  <si>
    <t xml:space="preserve">Other Amazon fee</t>
  </si>
  <si>
    <t xml:space="preserve">Total Amazon fees</t>
  </si>
  <si>
    <t xml:space="preserve">Fees as % of price</t>
  </si>
  <si>
    <t xml:space="preserve">Monthly profit at current volume</t>
  </si>
  <si>
    <t xml:space="preserve">The price-needed row uses the same landed, fulfillment, ad and giveaway costs at every price. In reality, a different price can change conversion, ad cost per unit and return rate. Treat this as a pricing floor, not a forecast.</t>
  </si>
  <si>
    <t xml:space="preserve">Price</t>
  </si>
  <si>
    <t xml:space="preserve">Rates, sources and the fine print</t>
  </si>
  <si>
    <t xml:space="preserve">Common 2026 US Amazon referral rates and fulfillment bands, plus the places to verify the exact number for an ASIN.</t>
  </si>
  <si>
    <t xml:space="preserve">COMMON REFERRAL RATES (2026)</t>
  </si>
  <si>
    <t xml:space="preserve">Category</t>
  </si>
  <si>
    <t xml:space="preserve">Notes</t>
  </si>
  <si>
    <t xml:space="preserve">Home &amp; Kitchen</t>
  </si>
  <si>
    <t xml:space="preserve">15%</t>
  </si>
  <si>
    <t xml:space="preserve">Flat.</t>
  </si>
  <si>
    <t xml:space="preserve">Toys &amp; Games</t>
  </si>
  <si>
    <t xml:space="preserve">Sports &amp; Outdoors</t>
  </si>
  <si>
    <t xml:space="preserve">Office Products</t>
  </si>
  <si>
    <t xml:space="preserve">Beauty, Health &amp; Personal Care</t>
  </si>
  <si>
    <t xml:space="preserve">8% up to $10, then 15%</t>
  </si>
  <si>
    <t xml:space="preserve">Tiered.</t>
  </si>
  <si>
    <t xml:space="preserve">Clothing &amp; Accessories</t>
  </si>
  <si>
    <t xml:space="preserve">5% up to $15; 10% to $20; 17% above</t>
  </si>
  <si>
    <t xml:space="preserve">Consumer Electronics</t>
  </si>
  <si>
    <t xml:space="preserve">8%</t>
  </si>
  <si>
    <t xml:space="preserve">Electronics Accessories</t>
  </si>
  <si>
    <t xml:space="preserve">15% up to $100, then 8%</t>
  </si>
  <si>
    <t xml:space="preserve">Furniture</t>
  </si>
  <si>
    <t xml:space="preserve">15% up to $200, then 10%</t>
  </si>
  <si>
    <t xml:space="preserve">Watches</t>
  </si>
  <si>
    <t xml:space="preserve">16% up to $1,500, then 3%</t>
  </si>
  <si>
    <t xml:space="preserve">Media (books, DVD, music)</t>
  </si>
  <si>
    <t xml:space="preserve">15% + $1.80 closing</t>
  </si>
  <si>
    <t xml:space="preserve">Closing fee per unit.</t>
  </si>
  <si>
    <t xml:space="preserve">Everything Else</t>
  </si>
  <si>
    <t xml:space="preserve">FBA FULFILLMENT FEE BANDS (2026 PLANNING DEFAULTS)</t>
  </si>
  <si>
    <t xml:space="preserve">Size tier</t>
  </si>
  <si>
    <t xml:space="preserve">Weight band</t>
  </si>
  <si>
    <t xml:space="preserve">Planning fee</t>
  </si>
  <si>
    <t xml:space="preserve">Small standard</t>
  </si>
  <si>
    <t xml:space="preserve">0–4 oz</t>
  </si>
  <si>
    <t xml:space="preserve">$3.07</t>
  </si>
  <si>
    <t xml:space="preserve">4–8 oz</t>
  </si>
  <si>
    <t xml:space="preserve">$3.14</t>
  </si>
  <si>
    <t xml:space="preserve">8–12 oz</t>
  </si>
  <si>
    <t xml:space="preserve">$3.22</t>
  </si>
  <si>
    <t xml:space="preserve">12–16 oz</t>
  </si>
  <si>
    <t xml:space="preserve">$3.31</t>
  </si>
  <si>
    <t xml:space="preserve">Large standard</t>
  </si>
  <si>
    <t xml:space="preserve">1–2 lb</t>
  </si>
  <si>
    <t xml:space="preserve">$4.90</t>
  </si>
  <si>
    <t xml:space="preserve">2–3 lb</t>
  </si>
  <si>
    <t xml:space="preserve">$5.25</t>
  </si>
  <si>
    <t xml:space="preserve">3–20 lb</t>
  </si>
  <si>
    <t xml:space="preserve">$6.10 + $0.16/lb above 3 lb</t>
  </si>
  <si>
    <t xml:space="preserve">Large bulky</t>
  </si>
  <si>
    <t xml:space="preserve">20–50 lb</t>
  </si>
  <si>
    <t xml:space="preserve">$25.00</t>
  </si>
  <si>
    <t xml:space="preserve">Extra-large</t>
  </si>
  <si>
    <t xml:space="preserve">over 50 lb</t>
  </si>
  <si>
    <t xml:space="preserve">$40.00 + $0.75/lb above 50 lb</t>
  </si>
  <si>
    <t xml:space="preserve">Amazon Revenue Calculator (exact per-ASIN fee)</t>
  </si>
  <si>
    <t xml:space="preserve">Amazon 2026 US FBA fulfillment fee changes</t>
  </si>
  <si>
    <t xml:space="preserve">Feedvisor 2026 referral fee table</t>
  </si>
  <si>
    <t xml:space="preserve">Repricer Express 2026 FBA fee guide</t>
  </si>
  <si>
    <t xml:space="preserve">TidyPayouts free seller tools</t>
  </si>
  <si>
    <t xml:space="preserve">Planning defaults, not a quote from Amazon. Referral categories, fulfillment fees and storage rates change; confirm the exact number in Seller Central. This workbook is not tax or accounting advice.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</si>
</sst>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.00;[RED]&quot;-$&quot;#,##0.00"/>
    <numFmt numFmtId="166" formatCode="#,##0"/>
    <numFmt numFmtId="167" formatCode="0.0%;[RED]\-0.0%"/>
    <numFmt numFmtId="168" formatCode="#,##0.00;[RED]\-#,##0.00"/>
    <numFmt numFmtId="169" formatCode="\$#,##0;[RED]&quot;-$&quot;#,##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9"/>
      <color rgb="FFD8D8D8"/>
      <name val="Calibri"/>
      <family val="0"/>
      <charset val="1"/>
    </font>
    <font>
      <b val="true"/>
      <sz val="22"/>
      <color rgb="FF202123"/>
      <name val="Calibri"/>
      <family val="0"/>
      <charset val="1"/>
    </font>
    <font>
      <sz val="11"/>
      <color rgb="FF6E6E73"/>
      <name val="Calibri"/>
      <family val="0"/>
      <charset val="1"/>
    </font>
    <font>
      <sz val="9"/>
      <color rgb="FF6E6E73"/>
      <name val="Calibri"/>
      <family val="0"/>
      <charset val="1"/>
    </font>
    <font>
      <b val="true"/>
      <sz val="11"/>
      <color rgb="FF202123"/>
      <name val="Calibri"/>
      <family val="0"/>
      <charset val="1"/>
    </font>
    <font>
      <b val="true"/>
      <sz val="10"/>
      <color rgb="FF202123"/>
      <name val="Calibri"/>
      <family val="0"/>
      <charset val="1"/>
    </font>
    <font>
      <sz val="10"/>
      <color rgb="FF6E6E73"/>
      <name val="Calibri"/>
      <family val="0"/>
      <charset val="1"/>
    </font>
    <font>
      <u val="single"/>
      <sz val="10"/>
      <color rgb="FF187450"/>
      <name val="Calibri"/>
      <family val="0"/>
      <charset val="1"/>
    </font>
    <font>
      <b val="true"/>
      <sz val="8"/>
      <color rgb="FF6E6E73"/>
      <name val="Calibri"/>
      <family val="0"/>
      <charset val="1"/>
    </font>
    <font>
      <sz val="10"/>
      <color rgb="FF202123"/>
      <name val="Calibri"/>
      <family val="0"/>
      <charset val="1"/>
    </font>
    <font>
      <b val="true"/>
      <sz val="15"/>
      <color rgb="FF202123"/>
      <name val="Calibri"/>
      <family val="0"/>
      <charset val="1"/>
    </font>
    <font>
      <b val="true"/>
      <sz val="11"/>
      <color rgb="FF187450"/>
      <name val="Calibri"/>
      <family val="0"/>
      <charset val="1"/>
    </font>
    <font>
      <sz val="9"/>
      <color rgb="FF202123"/>
      <name val="Calibri"/>
      <family val="0"/>
      <charset val="1"/>
    </font>
    <font>
      <b val="true"/>
      <sz val="12"/>
      <color rgb="FF187450"/>
      <name val="Calibri"/>
      <family val="0"/>
      <charset val="1"/>
    </font>
    <font>
      <b val="true"/>
      <sz val="10"/>
      <color rgb="FF187450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i val="true"/>
      <sz val="9"/>
      <color rgb="FF6E6E73"/>
      <name val="Calibri"/>
      <family val="0"/>
      <charset val="1"/>
    </font>
    <font>
      <b val="true"/>
      <sz val="9"/>
      <color rgb="FF6E6E73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18745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02123"/>
        <bgColor rgb="FF333300"/>
      </patternFill>
    </fill>
    <fill>
      <patternFill patternType="solid">
        <fgColor rgb="FFF7F7F8"/>
        <bgColor rgb="FFFFF9E6"/>
      </patternFill>
    </fill>
    <fill>
      <patternFill patternType="solid">
        <fgColor rgb="FFFFF9E6"/>
        <bgColor rgb="FFF7F7F8"/>
      </patternFill>
    </fill>
    <fill>
      <patternFill patternType="solid">
        <fgColor rgb="FFEAF4EF"/>
        <bgColor rgb="FFF7F7F8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 diagonalUp="false" diagonalDown="false">
      <left/>
      <right/>
      <top/>
      <bottom style="thin">
        <color rgb="FFE5E5E5"/>
      </bottom>
      <diagonal/>
    </border>
    <border diagonalUp="false" diagonalDown="false">
      <left/>
      <right/>
      <top/>
      <bottom style="hair">
        <color rgb="FFE5E5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3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5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0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7A44B"/>
      <rgbColor rgb="FF800080"/>
      <rgbColor rgb="FF187450"/>
      <rgbColor rgb="FFB3C992"/>
      <rgbColor rgb="FF878787"/>
      <rgbColor rgb="FF8EA5CA"/>
      <rgbColor rgb="FFAA433F"/>
      <rgbColor rgb="FFFFF9E6"/>
      <rgbColor rgb="FFEAF4EF"/>
      <rgbColor rgb="FF660066"/>
      <rgbColor rgb="FFCC8F8E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4F81BD"/>
      <rgbColor rgb="FF0000FF"/>
      <rgbColor rgb="FF00CCFF"/>
      <rgbColor rgb="FFF7F7F8"/>
      <rgbColor rgb="FFE5E5E5"/>
      <rgbColor rgb="FFD9D9D9"/>
      <rgbColor rgb="FF8CBFD2"/>
      <rgbColor rgb="FFFF99CC"/>
      <rgbColor rgb="FFCC99FF"/>
      <rgbColor rgb="FFF5B089"/>
      <rgbColor rgb="FF426FA6"/>
      <rgbColor rgb="FF33CCCC"/>
      <rgbColor rgb="FF99CC00"/>
      <rgbColor rgb="FFFFCC00"/>
      <rgbColor rgb="FFDB8238"/>
      <rgbColor rgb="FFFF6600"/>
      <rgbColor rgb="FF6F568D"/>
      <rgbColor rgb="FFA596B9"/>
      <rgbColor rgb="FF003366"/>
      <rgbColor rgb="FF3D97AF"/>
      <rgbColor rgb="FF003300"/>
      <rgbColor rgb="FF333300"/>
      <rgbColor rgb="FFB91C1C"/>
      <rgbColor rgb="FF6E6E73"/>
      <rgbColor rgb="FF333399"/>
      <rgbColor rgb="FF2021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Where each sale goes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'Unit economics'!J37</c:f>
              <c:strCache>
                <c:ptCount val="1"/>
                <c:pt idx="0">
                  <c:v>Amount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'Unit economics'!$I$38:$I$42</c:f>
              <c:strCache>
                <c:ptCount val="5"/>
                <c:pt idx="0">
                  <c:v>Landed cost</c:v>
                </c:pt>
                <c:pt idx="1">
                  <c:v>Amazon fees</c:v>
                </c:pt>
                <c:pt idx="2">
                  <c:v>Advertising</c:v>
                </c:pt>
                <c:pt idx="3">
                  <c:v>Giveaways</c:v>
                </c:pt>
                <c:pt idx="4">
                  <c:v>Net profit</c:v>
                </c:pt>
              </c:strCache>
            </c:strRef>
          </c:cat>
          <c:val>
            <c:numRef>
              <c:f>'Unit economics'!$J$38:$J$42</c:f>
              <c:numCache>
                <c:formatCode>\$#,##0.00;[RED]"-$"#,##0.00</c:formatCode>
                <c:ptCount val="5"/>
                <c:pt idx="0">
                  <c:v>6.465</c:v>
                </c:pt>
                <c:pt idx="1">
                  <c:v>8.8485</c:v>
                </c:pt>
                <c:pt idx="2">
                  <c:v>3</c:v>
                </c:pt>
                <c:pt idx="3">
                  <c:v>0.392857142857143</c:v>
                </c:pt>
                <c:pt idx="4">
                  <c:v>6.28364285714286</c:v>
                </c:pt>
              </c:numCache>
            </c:numRef>
          </c:val>
        </c:ser>
        <c:gapWidth val="45"/>
        <c:overlap val="0"/>
        <c:axId val="72105854"/>
        <c:axId val="31314658"/>
      </c:barChart>
      <c:catAx>
        <c:axId val="7210585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1314658"/>
        <c:crosses val="autoZero"/>
        <c:auto val="1"/>
        <c:lblAlgn val="ctr"/>
        <c:lblOffset val="100"/>
        <c:noMultiLvlLbl val="0"/>
      </c:catAx>
      <c:valAx>
        <c:axId val="313146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0;[RED]&quot;-$&quot;#,##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2105854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Net profit and cumulative profit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"Net profit"</c:f>
              <c:strCache>
                <c:ptCount val="1"/>
                <c:pt idx="0">
                  <c:v>Net profit</c:v>
                </c:pt>
              </c:strCache>
            </c:strRef>
          </c:tx>
          <c:spPr>
            <a:ln w="12600">
              <a:solidFill>
                <a:srgbClr val="426FA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projection'!$B$20</c:f>
              <c:numCache>
                <c:formatCode>\$#,##0.00;[RED]"-$"#,##0.00</c:formatCode>
                <c:ptCount val="1"/>
                <c:pt idx="0">
                  <c:v>362.918571428571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"Cumulative"</c:f>
              <c:strCache>
                <c:ptCount val="1"/>
                <c:pt idx="0">
                  <c:v>Cumulative</c:v>
                </c:pt>
              </c:strCache>
            </c:strRef>
          </c:tx>
          <c:spPr>
            <a:ln w="12600">
              <a:solidFill>
                <a:srgbClr val="AA433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projection'!$C$20</c:f>
              <c:numCache>
                <c:formatCode>\$#,##0.00;[RED]"-$"#,##0.00</c:formatCode>
                <c:ptCount val="1"/>
                <c:pt idx="0">
                  <c:v>734.385785714286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'12-month projection'!D19</c:f>
              <c:strCache>
                <c:ptCount val="1"/>
                <c:pt idx="0">
                  <c:v>$456.95</c:v>
                </c:pt>
              </c:strCache>
            </c:strRef>
          </c:tx>
          <c:spPr>
            <a:ln w="12600">
              <a:solidFill>
                <a:srgbClr val="87A44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projection'!$D$20</c:f>
              <c:numCache>
                <c:formatCode>\$#,##0.00;[RED]"-$"#,##0.00</c:formatCode>
                <c:ptCount val="1"/>
                <c:pt idx="0">
                  <c:v>1191.33942857143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'12-month projection'!E19</c:f>
              <c:strCache>
                <c:ptCount val="1"/>
                <c:pt idx="0">
                  <c:v>$499.70</c:v>
                </c:pt>
              </c:strCache>
            </c:strRef>
          </c:tx>
          <c:spPr>
            <a:ln w="12600">
              <a:solidFill>
                <a:srgbClr val="6F568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projection'!$E$20</c:f>
              <c:numCache>
                <c:formatCode>\$#,##0.00;[RED]"-$"#,##0.00</c:formatCode>
                <c:ptCount val="1"/>
                <c:pt idx="0">
                  <c:v>1691.03628571429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'12-month projection'!F19</c:f>
              <c:strCache>
                <c:ptCount val="1"/>
                <c:pt idx="0">
                  <c:v>$525.34</c:v>
                </c:pt>
              </c:strCache>
            </c:strRef>
          </c:tx>
          <c:spPr>
            <a:ln w="12600">
              <a:solidFill>
                <a:srgbClr val="3D97A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projection'!$F$20</c:f>
              <c:numCache>
                <c:formatCode>\$#,##0.00;[RED]"-$"#,##0.00</c:formatCode>
                <c:ptCount val="1"/>
                <c:pt idx="0">
                  <c:v>2216.37907142857</c:v>
                </c:pt>
              </c:numCache>
            </c:numRef>
          </c:val>
          <c:smooth val="1"/>
        </c:ser>
        <c:ser>
          <c:idx val="5"/>
          <c:order val="5"/>
          <c:tx>
            <c:strRef>
              <c:f>'12-month projection'!G19</c:f>
              <c:strCache>
                <c:ptCount val="1"/>
                <c:pt idx="0">
                  <c:v>$542.44</c:v>
                </c:pt>
              </c:strCache>
            </c:strRef>
          </c:tx>
          <c:spPr>
            <a:ln w="12600">
              <a:solidFill>
                <a:srgbClr val="DB823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projection'!$G$20</c:f>
              <c:numCache>
                <c:formatCode>\$#,##0.00;[RED]"-$"#,##0.00</c:formatCode>
                <c:ptCount val="1"/>
                <c:pt idx="0">
                  <c:v>2758.81914285714</c:v>
                </c:pt>
              </c:numCache>
            </c:numRef>
          </c:val>
          <c:smooth val="1"/>
        </c:ser>
        <c:ser>
          <c:idx val="6"/>
          <c:order val="6"/>
          <c:tx>
            <c:strRef>
              <c:f>'12-month projection'!H19</c:f>
              <c:strCache>
                <c:ptCount val="1"/>
                <c:pt idx="0">
                  <c:v>$568.09</c:v>
                </c:pt>
              </c:strCache>
            </c:strRef>
          </c:tx>
          <c:spPr>
            <a:ln w="12600">
              <a:solidFill>
                <a:srgbClr val="8EA5C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projection'!$H$20</c:f>
              <c:numCache>
                <c:formatCode>\$#,##0.00;[RED]"-$"#,##0.00</c:formatCode>
                <c:ptCount val="1"/>
                <c:pt idx="0">
                  <c:v>3326.90514285714</c:v>
                </c:pt>
              </c:numCache>
            </c:numRef>
          </c:val>
          <c:smooth val="1"/>
        </c:ser>
        <c:ser>
          <c:idx val="7"/>
          <c:order val="7"/>
          <c:tx>
            <c:strRef>
              <c:f>'12-month projection'!I19</c:f>
              <c:strCache>
                <c:ptCount val="1"/>
                <c:pt idx="0">
                  <c:v>$585.18</c:v>
                </c:pt>
              </c:strCache>
            </c:strRef>
          </c:tx>
          <c:spPr>
            <a:ln w="12600">
              <a:solidFill>
                <a:srgbClr val="CC8F8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projection'!$I$20</c:f>
              <c:numCache>
                <c:formatCode>\$#,##0.00;[RED]"-$"#,##0.00</c:formatCode>
                <c:ptCount val="1"/>
                <c:pt idx="0">
                  <c:v>3912.08842857143</c:v>
                </c:pt>
              </c:numCache>
            </c:numRef>
          </c:val>
          <c:smooth val="1"/>
        </c:ser>
        <c:ser>
          <c:idx val="8"/>
          <c:order val="8"/>
          <c:tx>
            <c:strRef>
              <c:f>'12-month projection'!J19</c:f>
              <c:strCache>
                <c:ptCount val="1"/>
                <c:pt idx="0">
                  <c:v>$645.02</c:v>
                </c:pt>
              </c:strCache>
            </c:strRef>
          </c:tx>
          <c:spPr>
            <a:ln w="12600">
              <a:solidFill>
                <a:srgbClr val="B3C99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projection'!$J$20</c:f>
              <c:numCache>
                <c:formatCode>\$#,##0.00;[RED]"-$"#,##0.00</c:formatCode>
                <c:ptCount val="1"/>
                <c:pt idx="0">
                  <c:v>4557.11221428571</c:v>
                </c:pt>
              </c:numCache>
            </c:numRef>
          </c:val>
          <c:smooth val="1"/>
        </c:ser>
        <c:ser>
          <c:idx val="9"/>
          <c:order val="9"/>
          <c:tx>
            <c:strRef>
              <c:f>'12-month projection'!K19</c:f>
              <c:strCache>
                <c:ptCount val="1"/>
                <c:pt idx="0">
                  <c:v>$704.86</c:v>
                </c:pt>
              </c:strCache>
            </c:strRef>
          </c:tx>
          <c:spPr>
            <a:ln w="12600">
              <a:solidFill>
                <a:srgbClr val="A596B9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projection'!$K$20</c:f>
              <c:numCache>
                <c:formatCode>\$#,##0.00;[RED]"-$"#,##0.00</c:formatCode>
                <c:ptCount val="1"/>
                <c:pt idx="0">
                  <c:v>5261.9765</c:v>
                </c:pt>
              </c:numCache>
            </c:numRef>
          </c:val>
          <c:smooth val="1"/>
        </c:ser>
        <c:ser>
          <c:idx val="10"/>
          <c:order val="10"/>
          <c:tx>
            <c:strRef>
              <c:f>'12-month projection'!L19</c:f>
              <c:strCache>
                <c:ptCount val="1"/>
                <c:pt idx="0">
                  <c:v>$935.68</c:v>
                </c:pt>
              </c:strCache>
            </c:strRef>
          </c:tx>
          <c:spPr>
            <a:ln w="12600">
              <a:solidFill>
                <a:srgbClr val="8CBFD2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projection'!$L$20</c:f>
              <c:numCache>
                <c:formatCode>\$#,##0.00;[RED]"-$"#,##0.00</c:formatCode>
                <c:ptCount val="1"/>
                <c:pt idx="0">
                  <c:v>6197.65414285714</c:v>
                </c:pt>
              </c:numCache>
            </c:numRef>
          </c:val>
          <c:smooth val="1"/>
        </c:ser>
        <c:ser>
          <c:idx val="11"/>
          <c:order val="11"/>
          <c:tx>
            <c:strRef>
              <c:f>'12-month projection'!M19</c:f>
              <c:strCache>
                <c:ptCount val="1"/>
                <c:pt idx="0">
                  <c:v>$841.64</c:v>
                </c:pt>
              </c:strCache>
            </c:strRef>
          </c:tx>
          <c:spPr>
            <a:ln w="12600">
              <a:solidFill>
                <a:srgbClr val="F5B089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projection'!$B$11:$M$11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'12-month projection'!$M$20</c:f>
              <c:numCache>
                <c:formatCode>\$#,##0.00;[RED]"-$"#,##0.00</c:formatCode>
                <c:ptCount val="1"/>
                <c:pt idx="0">
                  <c:v>7039.29671428571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827218"/>
        <c:axId val="56613160"/>
      </c:lineChart>
      <c:catAx>
        <c:axId val="882721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6613160"/>
        <c:crosses val="autoZero"/>
        <c:auto val="1"/>
        <c:lblAlgn val="ctr"/>
        <c:lblOffset val="100"/>
        <c:noMultiLvlLbl val="0"/>
      </c:catAx>
      <c:valAx>
        <c:axId val="566131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[RED]&quot;-$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827218"/>
        <c:crosses val="autoZero"/>
        <c:crossBetween val="between"/>
      </c:valAx>
      <c:spPr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Net profit per unit by price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Scenarios!B27</c:f>
              <c:strCache>
                <c:ptCount val="1"/>
                <c:pt idx="0">
                  <c:v>Net profit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Scenarios!$A$28:$A$32</c:f>
              <c:strCache>
                <c:ptCount val="5"/>
                <c:pt idx="0">
                  <c:v>$19.99</c:v>
                </c:pt>
                <c:pt idx="1">
                  <c:v>$22.99</c:v>
                </c:pt>
                <c:pt idx="2">
                  <c:v>$24.99</c:v>
                </c:pt>
                <c:pt idx="3">
                  <c:v>$27.99</c:v>
                </c:pt>
                <c:pt idx="4">
                  <c:v>$29.99</c:v>
                </c:pt>
              </c:strCache>
            </c:strRef>
          </c:cat>
          <c:val>
            <c:numRef>
              <c:f>Scenarios!$B$28:$B$32</c:f>
              <c:numCache>
                <c:formatCode>\$#,##0.00;[RED]"-$"#,##0.00</c:formatCode>
                <c:ptCount val="5"/>
                <c:pt idx="0">
                  <c:v>2.03364285714286</c:v>
                </c:pt>
                <c:pt idx="1">
                  <c:v>4.58364285714286</c:v>
                </c:pt>
                <c:pt idx="2">
                  <c:v>6.28364285714286</c:v>
                </c:pt>
                <c:pt idx="3">
                  <c:v>8.83364285714286</c:v>
                </c:pt>
                <c:pt idx="4">
                  <c:v>10.5336428571429</c:v>
                </c:pt>
              </c:numCache>
            </c:numRef>
          </c:val>
        </c:ser>
        <c:gapWidth val="45"/>
        <c:overlap val="0"/>
        <c:axId val="76590290"/>
        <c:axId val="83971348"/>
      </c:barChart>
      <c:catAx>
        <c:axId val="76590290"/>
        <c:scaling>
          <c:orientation val="minMax"/>
        </c:scaling>
        <c:delete val="0"/>
        <c:axPos val="b"/>
        <c:numFmt formatCode="\$#,##0.00;[RED]&quot;-$&quot;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3971348"/>
        <c:crosses val="autoZero"/>
        <c:auto val="1"/>
        <c:lblAlgn val="ctr"/>
        <c:lblOffset val="100"/>
        <c:noMultiLvlLbl val="0"/>
      </c:catAx>
      <c:valAx>
        <c:axId val="839713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0;[RED]&quot;-$&quot;#,##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6590290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19</xdr:row>
      <xdr:rowOff>0</xdr:rowOff>
    </xdr:from>
    <xdr:to>
      <xdr:col>8</xdr:col>
      <xdr:colOff>1719360</xdr:colOff>
      <xdr:row>30</xdr:row>
      <xdr:rowOff>147240</xdr:rowOff>
    </xdr:to>
    <xdr:graphicFrame>
      <xdr:nvGraphicFramePr>
        <xdr:cNvPr id="1" name="Chart 1"/>
        <xdr:cNvGraphicFramePr/>
      </xdr:nvGraphicFramePr>
      <xdr:xfrm>
        <a:off x="8951760" y="5331600"/>
        <a:ext cx="46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23</xdr:row>
      <xdr:rowOff>0</xdr:rowOff>
    </xdr:from>
    <xdr:to>
      <xdr:col>8</xdr:col>
      <xdr:colOff>276840</xdr:colOff>
      <xdr:row>38</xdr:row>
      <xdr:rowOff>21960</xdr:rowOff>
    </xdr:to>
    <xdr:graphicFrame>
      <xdr:nvGraphicFramePr>
        <xdr:cNvPr id="2" name="Chart 1"/>
        <xdr:cNvGraphicFramePr/>
      </xdr:nvGraphicFramePr>
      <xdr:xfrm>
        <a:off x="1550520" y="528624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8</xdr:row>
      <xdr:rowOff>0</xdr:rowOff>
    </xdr:from>
    <xdr:to>
      <xdr:col>13</xdr:col>
      <xdr:colOff>48600</xdr:colOff>
      <xdr:row>21</xdr:row>
      <xdr:rowOff>32400</xdr:rowOff>
    </xdr:to>
    <xdr:graphicFrame>
      <xdr:nvGraphicFramePr>
        <xdr:cNvPr id="3" name="Chart 1"/>
        <xdr:cNvGraphicFramePr/>
      </xdr:nvGraphicFramePr>
      <xdr:xfrm>
        <a:off x="8105760" y="2104920"/>
        <a:ext cx="46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idypayouts.com/spreadsheets/amazon-fba-profit-calculator/" TargetMode="External"/><Relationship Id="rId2" Type="http://schemas.openxmlformats.org/officeDocument/2006/relationships/hyperlink" Target="https://tidypayouts.com/blog/cogs-for-marketplace-sellers/" TargetMode="External"/><Relationship Id="rId3" Type="http://schemas.openxmlformats.org/officeDocument/2006/relationships/hyperlink" Target="https://sellercentral.amazon.com/hz/fba/profitabilitycalculator/inde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sellercentral.amazon.com/hz/fba/profitabilitycalculator/index" TargetMode="External"/><Relationship Id="rId2" Type="http://schemas.openxmlformats.org/officeDocument/2006/relationships/hyperlink" Target="https://sellercentral.amazon.com/help/hub/reference/external/GABBX6GZPA8MSZGW" TargetMode="External"/><Relationship Id="rId3" Type="http://schemas.openxmlformats.org/officeDocument/2006/relationships/hyperlink" Target="https://feedvisor.com/university/referral-fee/" TargetMode="External"/><Relationship Id="rId4" Type="http://schemas.openxmlformats.org/officeDocument/2006/relationships/hyperlink" Target="https://www.repricerexpress.com/amazon-fba-fees-guide/" TargetMode="External"/><Relationship Id="rId5" Type="http://schemas.openxmlformats.org/officeDocument/2006/relationships/hyperlink" Target="https://tidypayouts.com/tool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85"/>
    <col collapsed="false" customWidth="true" hidden="false" outlineLevel="0" max="4" min="4" style="0" width="3"/>
    <col collapsed="false" customWidth="true" hidden="false" outlineLevel="0" max="6" min="5" style="0" width="18"/>
    <col collapsed="false" customWidth="true" hidden="false" outlineLevel="0" max="7" min="7" style="0" width="3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</row>
    <row r="2" customFormat="false" ht="33.75" hidden="false" customHeight="true" outlineLevel="0" collapsed="false">
      <c r="A2" s="3" t="s">
        <v>2</v>
      </c>
      <c r="B2" s="3"/>
      <c r="C2" s="3"/>
      <c r="D2" s="3"/>
      <c r="E2" s="3"/>
      <c r="F2" s="3"/>
      <c r="G2" s="3"/>
    </row>
    <row r="3" customFormat="false" ht="30" hidden="false" customHeight="true" outlineLevel="0" collapsed="false">
      <c r="A3" s="4" t="s">
        <v>3</v>
      </c>
      <c r="B3" s="4"/>
      <c r="C3" s="4"/>
      <c r="D3" s="4"/>
      <c r="E3" s="4"/>
      <c r="F3" s="4"/>
      <c r="G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</row>
    <row r="6" customFormat="false" ht="24" hidden="false" customHeight="true" outlineLevel="0" collapsed="false">
      <c r="A6" s="6" t="s">
        <v>5</v>
      </c>
      <c r="B6" s="6"/>
      <c r="C6" s="6"/>
      <c r="D6" s="6"/>
      <c r="E6" s="6"/>
      <c r="F6" s="6"/>
      <c r="G6" s="6"/>
    </row>
    <row r="7" customFormat="false" ht="43.5" hidden="false" customHeight="true" outlineLevel="0" collapsed="false">
      <c r="B7" s="7" t="s">
        <v>6</v>
      </c>
      <c r="C7" s="8" t="s">
        <v>7</v>
      </c>
      <c r="D7" s="8"/>
      <c r="E7" s="8"/>
      <c r="F7" s="8"/>
    </row>
    <row r="8" customFormat="false" ht="43.5" hidden="false" customHeight="true" outlineLevel="0" collapsed="false">
      <c r="B8" s="7" t="s">
        <v>8</v>
      </c>
      <c r="C8" s="8" t="s">
        <v>9</v>
      </c>
      <c r="D8" s="8"/>
      <c r="E8" s="8"/>
      <c r="F8" s="8"/>
    </row>
    <row r="9" customFormat="false" ht="43.5" hidden="false" customHeight="true" outlineLevel="0" collapsed="false">
      <c r="B9" s="7" t="s">
        <v>10</v>
      </c>
      <c r="C9" s="8" t="s">
        <v>11</v>
      </c>
      <c r="D9" s="8"/>
      <c r="E9" s="8"/>
      <c r="F9" s="8"/>
    </row>
    <row r="10" customFormat="false" ht="43.5" hidden="false" customHeight="true" outlineLevel="0" collapsed="false">
      <c r="B10" s="7" t="s">
        <v>12</v>
      </c>
      <c r="C10" s="8" t="s">
        <v>13</v>
      </c>
      <c r="D10" s="8"/>
      <c r="E10" s="8"/>
      <c r="F10" s="8"/>
    </row>
    <row r="11" customFormat="false" ht="43.5" hidden="false" customHeight="true" outlineLevel="0" collapsed="false">
      <c r="B11" s="7" t="s">
        <v>14</v>
      </c>
      <c r="C11" s="8" t="s">
        <v>15</v>
      </c>
      <c r="D11" s="8"/>
      <c r="E11" s="8"/>
      <c r="F11" s="8"/>
    </row>
    <row r="12" customFormat="false" ht="43.5" hidden="false" customHeight="true" outlineLevel="0" collapsed="false">
      <c r="B12" s="7" t="s">
        <v>16</v>
      </c>
      <c r="C12" s="8" t="s">
        <v>17</v>
      </c>
      <c r="D12" s="8"/>
      <c r="E12" s="8"/>
      <c r="F12" s="8"/>
    </row>
    <row r="14" customFormat="false" ht="24" hidden="false" customHeight="true" outlineLevel="0" collapsed="false">
      <c r="A14" s="6" t="s">
        <v>18</v>
      </c>
      <c r="B14" s="6"/>
      <c r="C14" s="6"/>
      <c r="D14" s="6"/>
      <c r="E14" s="6"/>
      <c r="F14" s="6"/>
      <c r="G14" s="6"/>
    </row>
    <row r="15" customFormat="false" ht="30" hidden="false" customHeight="true" outlineLevel="0" collapsed="false">
      <c r="B15" s="9" t="s">
        <v>19</v>
      </c>
      <c r="C15" s="10" t="s">
        <v>20</v>
      </c>
      <c r="D15" s="10"/>
      <c r="E15" s="10"/>
      <c r="F15" s="10"/>
    </row>
    <row r="16" customFormat="false" ht="30" hidden="false" customHeight="true" outlineLevel="0" collapsed="false">
      <c r="B16" s="9" t="s">
        <v>21</v>
      </c>
      <c r="C16" s="10" t="s">
        <v>22</v>
      </c>
      <c r="D16" s="10"/>
      <c r="E16" s="10"/>
      <c r="F16" s="10"/>
    </row>
    <row r="17" customFormat="false" ht="30" hidden="false" customHeight="true" outlineLevel="0" collapsed="false">
      <c r="B17" s="9" t="s">
        <v>23</v>
      </c>
      <c r="C17" s="10" t="s">
        <v>24</v>
      </c>
      <c r="D17" s="10"/>
      <c r="E17" s="10"/>
      <c r="F17" s="10"/>
    </row>
    <row r="18" customFormat="false" ht="30" hidden="false" customHeight="true" outlineLevel="0" collapsed="false">
      <c r="B18" s="9" t="s">
        <v>25</v>
      </c>
      <c r="C18" s="10" t="s">
        <v>26</v>
      </c>
      <c r="D18" s="10"/>
      <c r="E18" s="10"/>
      <c r="F18" s="10"/>
    </row>
    <row r="20" customFormat="false" ht="24" hidden="false" customHeight="true" outlineLevel="0" collapsed="false">
      <c r="A20" s="6" t="s">
        <v>27</v>
      </c>
      <c r="B20" s="6"/>
      <c r="C20" s="6"/>
      <c r="D20" s="6"/>
      <c r="E20" s="6"/>
      <c r="F20" s="6"/>
      <c r="G20" s="6"/>
    </row>
    <row r="21" customFormat="false" ht="33.75" hidden="false" customHeight="true" outlineLevel="0" collapsed="false">
      <c r="A21" s="11" t="s">
        <v>28</v>
      </c>
      <c r="B21" s="11"/>
      <c r="C21" s="11"/>
      <c r="D21" s="11"/>
      <c r="E21" s="11"/>
      <c r="F21" s="11"/>
      <c r="G21" s="11"/>
    </row>
    <row r="22" customFormat="false" ht="33.75" hidden="false" customHeight="true" outlineLevel="0" collapsed="false">
      <c r="A22" s="11" t="s">
        <v>29</v>
      </c>
      <c r="B22" s="11"/>
      <c r="C22" s="11"/>
      <c r="D22" s="11"/>
      <c r="E22" s="11"/>
      <c r="F22" s="11"/>
      <c r="G22" s="11"/>
    </row>
    <row r="23" customFormat="false" ht="33.75" hidden="false" customHeight="true" outlineLevel="0" collapsed="false">
      <c r="A23" s="11" t="s">
        <v>30</v>
      </c>
      <c r="B23" s="11"/>
      <c r="C23" s="11"/>
      <c r="D23" s="11"/>
      <c r="E23" s="11"/>
      <c r="F23" s="11"/>
      <c r="G23" s="11"/>
    </row>
    <row r="24" customFormat="false" ht="33.75" hidden="false" customHeight="true" outlineLevel="0" collapsed="false">
      <c r="A24" s="11" t="s">
        <v>31</v>
      </c>
      <c r="B24" s="11"/>
      <c r="C24" s="11"/>
      <c r="D24" s="11"/>
      <c r="E24" s="11"/>
      <c r="F24" s="11"/>
      <c r="G24" s="11"/>
    </row>
    <row r="26" customFormat="false" ht="24" hidden="false" customHeight="true" outlineLevel="0" collapsed="false">
      <c r="A26" s="6" t="s">
        <v>32</v>
      </c>
      <c r="B26" s="6"/>
      <c r="C26" s="6"/>
      <c r="D26" s="6"/>
      <c r="E26" s="6"/>
      <c r="F26" s="6"/>
      <c r="G26" s="6"/>
    </row>
    <row r="27" customFormat="false" ht="15" hidden="false" customHeight="false" outlineLevel="0" collapsed="false">
      <c r="B27" s="12" t="s">
        <v>33</v>
      </c>
    </row>
    <row r="28" customFormat="false" ht="15" hidden="false" customHeight="false" outlineLevel="0" collapsed="false">
      <c r="B28" s="12" t="s">
        <v>34</v>
      </c>
    </row>
    <row r="29" customFormat="false" ht="15" hidden="false" customHeight="false" outlineLevel="0" collapsed="false">
      <c r="B29" s="12" t="s">
        <v>35</v>
      </c>
    </row>
  </sheetData>
  <mergeCells count="23">
    <mergeCell ref="A1:D1"/>
    <mergeCell ref="E1:G1"/>
    <mergeCell ref="A2:G2"/>
    <mergeCell ref="A3:G3"/>
    <mergeCell ref="A4:G4"/>
    <mergeCell ref="A6:G6"/>
    <mergeCell ref="C7:F7"/>
    <mergeCell ref="C8:F8"/>
    <mergeCell ref="C9:F9"/>
    <mergeCell ref="C10:F10"/>
    <mergeCell ref="C11:F11"/>
    <mergeCell ref="C12:F12"/>
    <mergeCell ref="A14:G14"/>
    <mergeCell ref="C15:F15"/>
    <mergeCell ref="C16:F16"/>
    <mergeCell ref="C17:F17"/>
    <mergeCell ref="C18:F18"/>
    <mergeCell ref="A20:G20"/>
    <mergeCell ref="A21:G21"/>
    <mergeCell ref="A22:G22"/>
    <mergeCell ref="A23:G23"/>
    <mergeCell ref="A24:G24"/>
    <mergeCell ref="A26:G26"/>
  </mergeCells>
  <hyperlinks>
    <hyperlink ref="B27" r:id="rId1" display="TidyPayouts — Amazon FBA Profit &amp; Fee Calculator"/>
    <hyperlink ref="B28" r:id="rId2" display="TidyPayouts — COGS for marketplace sellers"/>
    <hyperlink ref="B29" r:id="rId3" display="Amazon Revenue Calculator"/>
  </hyperlink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3"/>
    <col collapsed="false" customWidth="true" hidden="false" outlineLevel="0" max="3" min="3" style="0" width="10"/>
    <col collapsed="false" customWidth="true" hidden="false" outlineLevel="0" max="4" min="4" style="0" width="52"/>
    <col collapsed="false" customWidth="true" hidden="false" outlineLevel="0" max="5" min="5" style="0" width="2"/>
    <col collapsed="false" customWidth="true" hidden="false" outlineLevel="0" max="6" min="6" style="0" width="22"/>
    <col collapsed="false" customWidth="true" hidden="false" outlineLevel="0" max="7" min="7" style="0" width="18"/>
    <col collapsed="false" customWidth="true" hidden="false" outlineLevel="0" max="8" min="8" style="0" width="2"/>
    <col collapsed="false" customWidth="true" hidden="false" outlineLevel="0" max="9" min="9" style="0" width="26"/>
    <col collapsed="false" customWidth="true" hidden="false" outlineLevel="0" max="10" min="10" style="0" width="13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</row>
    <row r="2" customFormat="false" ht="33.75" hidden="false" customHeight="true" outlineLevel="0" collapsed="false">
      <c r="A2" s="3" t="s">
        <v>36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0" hidden="false" customHeight="true" outlineLevel="0" collapsed="false">
      <c r="A3" s="4" t="s">
        <v>37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</row>
    <row r="6" customFormat="false" ht="24" hidden="false" customHeight="true" outlineLevel="0" collapsed="false">
      <c r="A6" s="6" t="s">
        <v>38</v>
      </c>
      <c r="B6" s="6"/>
      <c r="C6" s="6"/>
      <c r="D6" s="6"/>
      <c r="F6" s="13" t="s">
        <v>39</v>
      </c>
      <c r="G6" s="13"/>
    </row>
    <row r="7" customFormat="false" ht="21.75" hidden="false" customHeight="true" outlineLevel="0" collapsed="false">
      <c r="A7" s="14" t="s">
        <v>40</v>
      </c>
      <c r="B7" s="15" t="s">
        <v>41</v>
      </c>
      <c r="D7" s="16" t="s">
        <v>42</v>
      </c>
      <c r="F7" s="17" t="s">
        <v>43</v>
      </c>
      <c r="G7" s="18" t="n">
        <f aca="false">B53</f>
        <v>6.28364285714286</v>
      </c>
    </row>
    <row r="8" customFormat="false" ht="21.75" hidden="false" customHeight="true" outlineLevel="0" collapsed="false">
      <c r="A8" s="14" t="s">
        <v>44</v>
      </c>
      <c r="B8" s="19" t="n">
        <v>24.99</v>
      </c>
      <c r="D8" s="16" t="s">
        <v>45</v>
      </c>
    </row>
    <row r="9" customFormat="false" ht="21.75" hidden="false" customHeight="true" outlineLevel="0" collapsed="false">
      <c r="A9" s="14" t="s">
        <v>46</v>
      </c>
      <c r="B9" s="20" t="n">
        <v>1000</v>
      </c>
      <c r="D9" s="16" t="s">
        <v>47</v>
      </c>
      <c r="F9" s="17" t="s">
        <v>48</v>
      </c>
      <c r="G9" s="21" t="n">
        <f aca="false">B54</f>
        <v>0.251446292802835</v>
      </c>
    </row>
    <row r="10" customFormat="false" ht="21.75" hidden="false" customHeight="true" outlineLevel="0" collapsed="false">
      <c r="A10" s="14" t="s">
        <v>49</v>
      </c>
      <c r="B10" s="20" t="n">
        <v>420</v>
      </c>
      <c r="D10" s="16" t="s">
        <v>50</v>
      </c>
    </row>
    <row r="11" customFormat="false" ht="21.75" hidden="false" customHeight="true" outlineLevel="0" collapsed="false">
      <c r="A11" s="14" t="s">
        <v>51</v>
      </c>
      <c r="B11" s="22" t="n">
        <v>6</v>
      </c>
      <c r="D11" s="16" t="s">
        <v>52</v>
      </c>
      <c r="F11" s="17" t="s">
        <v>53</v>
      </c>
      <c r="G11" s="21" t="n">
        <f aca="false">B56</f>
        <v>0.97194785106618</v>
      </c>
    </row>
    <row r="12" customFormat="false" ht="21.75" hidden="false" customHeight="true" outlineLevel="0" collapsed="false">
      <c r="A12" s="14" t="s">
        <v>54</v>
      </c>
      <c r="B12" s="23" t="n">
        <v>0.2</v>
      </c>
      <c r="D12" s="16" t="s">
        <v>55</v>
      </c>
    </row>
    <row r="13" customFormat="false" ht="18.55" hidden="false" customHeight="false" outlineLevel="0" collapsed="false">
      <c r="F13" s="17" t="s">
        <v>56</v>
      </c>
      <c r="G13" s="24" t="n">
        <f aca="false">B57</f>
        <v>143.229018653875</v>
      </c>
    </row>
    <row r="14" customFormat="false" ht="24" hidden="false" customHeight="true" outlineLevel="0" collapsed="false">
      <c r="A14" s="6" t="s">
        <v>57</v>
      </c>
      <c r="B14" s="6"/>
      <c r="C14" s="6"/>
      <c r="D14" s="6"/>
    </row>
    <row r="15" customFormat="false" ht="21.75" hidden="false" customHeight="true" outlineLevel="0" collapsed="false">
      <c r="A15" s="14" t="s">
        <v>58</v>
      </c>
      <c r="B15" s="19" t="n">
        <v>4200</v>
      </c>
      <c r="D15" s="16" t="s">
        <v>59</v>
      </c>
      <c r="F15" s="17" t="s">
        <v>60</v>
      </c>
      <c r="G15" s="18" t="n">
        <f aca="false">B70</f>
        <v>1790.43</v>
      </c>
    </row>
    <row r="16" customFormat="false" ht="21.75" hidden="false" customHeight="true" outlineLevel="0" collapsed="false">
      <c r="A16" s="14" t="s">
        <v>61</v>
      </c>
      <c r="B16" s="19" t="n">
        <v>1600</v>
      </c>
      <c r="D16" s="16" t="s">
        <v>62</v>
      </c>
    </row>
    <row r="17" customFormat="false" ht="21.75" hidden="false" customHeight="true" outlineLevel="0" collapsed="false">
      <c r="A17" s="14" t="s">
        <v>63</v>
      </c>
      <c r="B17" s="23" t="n">
        <v>0.075</v>
      </c>
      <c r="D17" s="16" t="s">
        <v>64</v>
      </c>
      <c r="F17" s="17" t="s">
        <v>65</v>
      </c>
      <c r="G17" s="18" t="n">
        <f aca="false">B71</f>
        <v>3749.7</v>
      </c>
    </row>
    <row r="18" customFormat="false" ht="15" hidden="false" customHeight="false" outlineLevel="0" collapsed="false">
      <c r="A18" s="14" t="s">
        <v>66</v>
      </c>
      <c r="B18" s="25" t="n">
        <f aca="false">B15*B17</f>
        <v>315</v>
      </c>
      <c r="D18" s="26" t="s">
        <v>67</v>
      </c>
    </row>
    <row r="19" customFormat="false" ht="21.75" hidden="false" customHeight="true" outlineLevel="0" collapsed="false">
      <c r="A19" s="14" t="s">
        <v>68</v>
      </c>
      <c r="B19" s="19" t="n">
        <v>250</v>
      </c>
      <c r="D19" s="16" t="s">
        <v>69</v>
      </c>
    </row>
    <row r="20" customFormat="false" ht="21.75" hidden="false" customHeight="true" outlineLevel="0" collapsed="false">
      <c r="A20" s="14" t="s">
        <v>70</v>
      </c>
      <c r="B20" s="19" t="n">
        <v>100</v>
      </c>
      <c r="D20" s="16" t="s">
        <v>71</v>
      </c>
    </row>
    <row r="21" customFormat="false" ht="15" hidden="false" customHeight="false" outlineLevel="0" collapsed="false">
      <c r="A21" s="14" t="s">
        <v>72</v>
      </c>
      <c r="B21" s="27" t="n">
        <f aca="false">B15+B16+B18+B19+B20</f>
        <v>6465</v>
      </c>
      <c r="D21" s="26" t="s">
        <v>73</v>
      </c>
    </row>
    <row r="22" customFormat="false" ht="15" hidden="false" customHeight="false" outlineLevel="0" collapsed="false">
      <c r="A22" s="14" t="s">
        <v>74</v>
      </c>
      <c r="B22" s="27" t="n">
        <f aca="false">B21/MAX(B9,1)</f>
        <v>6.465</v>
      </c>
    </row>
    <row r="23" customFormat="false" ht="15" hidden="false" customHeight="false" outlineLevel="0" collapsed="false">
      <c r="A23" s="14" t="s">
        <v>75</v>
      </c>
      <c r="B23" s="25" t="n">
        <f aca="false">B15/MAX(B9,1)</f>
        <v>4.2</v>
      </c>
    </row>
    <row r="25" customFormat="false" ht="24" hidden="false" customHeight="true" outlineLevel="0" collapsed="false">
      <c r="A25" s="6" t="s">
        <v>76</v>
      </c>
      <c r="B25" s="6"/>
      <c r="C25" s="6"/>
      <c r="D25" s="6"/>
    </row>
    <row r="26" customFormat="false" ht="21.75" hidden="false" customHeight="true" outlineLevel="0" collapsed="false">
      <c r="A26" s="14" t="s">
        <v>77</v>
      </c>
      <c r="B26" s="23" t="n">
        <v>0.15</v>
      </c>
      <c r="D26" s="16" t="s">
        <v>78</v>
      </c>
    </row>
    <row r="27" customFormat="false" ht="21.75" hidden="false" customHeight="true" outlineLevel="0" collapsed="false">
      <c r="A27" s="14" t="s">
        <v>79</v>
      </c>
      <c r="B27" s="19" t="n">
        <v>5.1</v>
      </c>
      <c r="D27" s="16" t="s">
        <v>80</v>
      </c>
    </row>
    <row r="28" customFormat="false" ht="21.75" hidden="false" customHeight="true" outlineLevel="0" collapsed="false">
      <c r="A28" s="14" t="s">
        <v>81</v>
      </c>
      <c r="B28" s="19" t="n">
        <v>0</v>
      </c>
      <c r="D28" s="16" t="s">
        <v>82</v>
      </c>
    </row>
    <row r="29" customFormat="false" ht="15" hidden="false" customHeight="false" outlineLevel="0" collapsed="false">
      <c r="A29" s="14" t="s">
        <v>83</v>
      </c>
      <c r="B29" s="28" t="n">
        <f aca="false">B8*B26+B27+B28</f>
        <v>8.8485</v>
      </c>
    </row>
    <row r="31" customFormat="false" ht="24" hidden="false" customHeight="true" outlineLevel="0" collapsed="false">
      <c r="A31" s="6" t="s">
        <v>84</v>
      </c>
      <c r="B31" s="6"/>
      <c r="C31" s="6"/>
      <c r="D31" s="6"/>
    </row>
    <row r="32" customFormat="false" ht="21.75" hidden="false" customHeight="true" outlineLevel="0" collapsed="false">
      <c r="A32" s="14" t="s">
        <v>85</v>
      </c>
      <c r="B32" s="19" t="n">
        <v>1260</v>
      </c>
      <c r="D32" s="16" t="s">
        <v>86</v>
      </c>
    </row>
    <row r="33" customFormat="false" ht="15" hidden="false" customHeight="false" outlineLevel="0" collapsed="false">
      <c r="A33" s="14" t="s">
        <v>87</v>
      </c>
      <c r="B33" s="25" t="n">
        <f aca="false">IFERROR(B32/MAX(B10,1),0)</f>
        <v>3</v>
      </c>
    </row>
    <row r="34" customFormat="false" ht="21.75" hidden="false" customHeight="true" outlineLevel="0" collapsed="false">
      <c r="A34" s="14" t="s">
        <v>88</v>
      </c>
      <c r="B34" s="20" t="n">
        <v>30</v>
      </c>
      <c r="D34" s="16" t="s">
        <v>89</v>
      </c>
    </row>
    <row r="35" customFormat="false" ht="21.75" hidden="false" customHeight="true" outlineLevel="0" collapsed="false">
      <c r="A35" s="14" t="s">
        <v>90</v>
      </c>
      <c r="B35" s="19" t="n">
        <v>5.5</v>
      </c>
      <c r="D35" s="16" t="s">
        <v>91</v>
      </c>
    </row>
    <row r="36" customFormat="false" ht="15" hidden="false" customHeight="false" outlineLevel="0" collapsed="false">
      <c r="A36" s="14" t="s">
        <v>92</v>
      </c>
      <c r="B36" s="25" t="n">
        <f aca="false">IFERROR(B34*B35/MAX(B10,1),0)</f>
        <v>0.392857142857143</v>
      </c>
    </row>
    <row r="37" customFormat="false" ht="15" hidden="false" customHeight="false" outlineLevel="0" collapsed="false">
      <c r="I37" s="17" t="s">
        <v>93</v>
      </c>
      <c r="J37" s="17" t="s">
        <v>94</v>
      </c>
    </row>
    <row r="38" customFormat="false" ht="24" hidden="false" customHeight="true" outlineLevel="0" collapsed="false">
      <c r="A38" s="6" t="s">
        <v>95</v>
      </c>
      <c r="B38" s="6"/>
      <c r="C38" s="6"/>
      <c r="D38" s="6"/>
      <c r="I38" s="29" t="s">
        <v>96</v>
      </c>
      <c r="J38" s="30" t="n">
        <f aca="false">B48</f>
        <v>6.465</v>
      </c>
    </row>
    <row r="39" customFormat="false" ht="21.75" hidden="false" customHeight="true" outlineLevel="0" collapsed="false">
      <c r="A39" s="14" t="s">
        <v>97</v>
      </c>
      <c r="B39" s="19" t="n">
        <v>300</v>
      </c>
      <c r="D39" s="16" t="s">
        <v>98</v>
      </c>
      <c r="I39" s="29" t="s">
        <v>99</v>
      </c>
      <c r="J39" s="30" t="n">
        <f aca="false">B49</f>
        <v>8.8485</v>
      </c>
    </row>
    <row r="40" customFormat="false" ht="21.75" hidden="false" customHeight="true" outlineLevel="0" collapsed="false">
      <c r="A40" s="14" t="s">
        <v>100</v>
      </c>
      <c r="B40" s="19" t="n">
        <v>200</v>
      </c>
      <c r="D40" s="16" t="s">
        <v>101</v>
      </c>
      <c r="I40" s="29" t="s">
        <v>102</v>
      </c>
      <c r="J40" s="30" t="n">
        <f aca="false">B50</f>
        <v>3</v>
      </c>
    </row>
    <row r="41" customFormat="false" ht="21.75" hidden="false" customHeight="true" outlineLevel="0" collapsed="false">
      <c r="A41" s="14" t="s">
        <v>103</v>
      </c>
      <c r="B41" s="19" t="n">
        <v>350</v>
      </c>
      <c r="D41" s="16" t="s">
        <v>104</v>
      </c>
      <c r="I41" s="29" t="s">
        <v>105</v>
      </c>
      <c r="J41" s="30" t="n">
        <f aca="false">B51</f>
        <v>0.392857142857143</v>
      </c>
    </row>
    <row r="42" customFormat="false" ht="21.75" hidden="false" customHeight="true" outlineLevel="0" collapsed="false">
      <c r="A42" s="14" t="s">
        <v>106</v>
      </c>
      <c r="B42" s="19" t="n">
        <v>50</v>
      </c>
      <c r="D42" s="16" t="s">
        <v>107</v>
      </c>
      <c r="I42" s="29" t="s">
        <v>108</v>
      </c>
      <c r="J42" s="30" t="n">
        <f aca="false">B53</f>
        <v>6.28364285714286</v>
      </c>
    </row>
    <row r="43" customFormat="false" ht="15" hidden="false" customHeight="false" outlineLevel="0" collapsed="false">
      <c r="A43" s="14" t="s">
        <v>109</v>
      </c>
      <c r="B43" s="28" t="n">
        <f aca="false">SUM(B39:B42)</f>
        <v>900</v>
      </c>
    </row>
    <row r="44" customFormat="false" ht="21.75" hidden="false" customHeight="true" outlineLevel="0" collapsed="false">
      <c r="A44" s="14" t="s">
        <v>110</v>
      </c>
      <c r="B44" s="19" t="n">
        <v>150</v>
      </c>
      <c r="D44" s="16" t="s">
        <v>111</v>
      </c>
    </row>
    <row r="46" customFormat="false" ht="24" hidden="false" customHeight="true" outlineLevel="0" collapsed="false">
      <c r="A46" s="6" t="s">
        <v>112</v>
      </c>
      <c r="B46" s="6"/>
      <c r="C46" s="6"/>
      <c r="D46" s="6"/>
    </row>
    <row r="47" customFormat="false" ht="15" hidden="false" customHeight="false" outlineLevel="0" collapsed="false">
      <c r="A47" s="14" t="s">
        <v>113</v>
      </c>
      <c r="B47" s="25" t="n">
        <f aca="false">B8</f>
        <v>24.99</v>
      </c>
    </row>
    <row r="48" customFormat="false" ht="15" hidden="false" customHeight="false" outlineLevel="0" collapsed="false">
      <c r="A48" s="14" t="s">
        <v>96</v>
      </c>
      <c r="B48" s="25" t="n">
        <f aca="false">B22</f>
        <v>6.465</v>
      </c>
    </row>
    <row r="49" customFormat="false" ht="15" hidden="false" customHeight="false" outlineLevel="0" collapsed="false">
      <c r="A49" s="14" t="s">
        <v>99</v>
      </c>
      <c r="B49" s="25" t="n">
        <f aca="false">B29</f>
        <v>8.8485</v>
      </c>
    </row>
    <row r="50" customFormat="false" ht="15" hidden="false" customHeight="false" outlineLevel="0" collapsed="false">
      <c r="A50" s="14" t="s">
        <v>102</v>
      </c>
      <c r="B50" s="25" t="n">
        <f aca="false">B33</f>
        <v>3</v>
      </c>
    </row>
    <row r="51" customFormat="false" ht="15" hidden="false" customHeight="false" outlineLevel="0" collapsed="false">
      <c r="A51" s="14" t="s">
        <v>105</v>
      </c>
      <c r="B51" s="25" t="n">
        <f aca="false">B36</f>
        <v>0.392857142857143</v>
      </c>
    </row>
    <row r="52" customFormat="false" ht="15" hidden="false" customHeight="false" outlineLevel="0" collapsed="false">
      <c r="A52" s="14" t="s">
        <v>114</v>
      </c>
      <c r="B52" s="28" t="n">
        <f aca="false">SUM(B48:B51)</f>
        <v>18.7063571428571</v>
      </c>
    </row>
    <row r="53" customFormat="false" ht="15" hidden="false" customHeight="false" outlineLevel="0" collapsed="false">
      <c r="A53" s="14" t="s">
        <v>115</v>
      </c>
      <c r="B53" s="31" t="n">
        <f aca="false">B47-B52</f>
        <v>6.28364285714286</v>
      </c>
    </row>
    <row r="54" customFormat="false" ht="15" hidden="false" customHeight="false" outlineLevel="0" collapsed="false">
      <c r="A54" s="14" t="s">
        <v>48</v>
      </c>
      <c r="B54" s="32" t="n">
        <f aca="false">IFERROR(B53/B47,0)</f>
        <v>0.251446292802835</v>
      </c>
    </row>
    <row r="55" customFormat="false" ht="15" hidden="false" customHeight="false" outlineLevel="0" collapsed="false">
      <c r="A55" s="14" t="s">
        <v>116</v>
      </c>
      <c r="B55" s="33" t="n">
        <f aca="false">IFERROR(B53/B52,0)</f>
        <v>0.335909488371027</v>
      </c>
    </row>
    <row r="56" customFormat="false" ht="15" hidden="false" customHeight="false" outlineLevel="0" collapsed="false">
      <c r="A56" s="14" t="s">
        <v>53</v>
      </c>
      <c r="B56" s="33" t="n">
        <f aca="false">IFERROR(B53/B22,0)</f>
        <v>0.97194785106618</v>
      </c>
    </row>
    <row r="57" customFormat="false" ht="15" hidden="false" customHeight="false" outlineLevel="0" collapsed="false">
      <c r="A57" s="14" t="s">
        <v>117</v>
      </c>
      <c r="B57" s="34" t="n">
        <f aca="false">IF(B53&lt;=0,"n/a",B43/B53)</f>
        <v>143.229018653875</v>
      </c>
    </row>
    <row r="58" customFormat="false" ht="15" hidden="false" customHeight="false" outlineLevel="0" collapsed="false">
      <c r="A58" s="14" t="s">
        <v>118</v>
      </c>
      <c r="B58" s="35" t="n">
        <f aca="false">IF(B26&gt;=0.95,"n/a",(B22+B27+B28+B33+B36)/(1-B26))</f>
        <v>17.5974789915966</v>
      </c>
    </row>
    <row r="59" customFormat="false" ht="15" hidden="false" customHeight="false" outlineLevel="0" collapsed="false">
      <c r="A59" s="14" t="s">
        <v>119</v>
      </c>
      <c r="B59" s="35" t="n">
        <f aca="false">IF(B26+B12&gt;=0.95,"n/a",(B22+B27+B28+B33+B36)/(1-B26-B12))</f>
        <v>23.0120879120879</v>
      </c>
    </row>
    <row r="60" customFormat="false" ht="15" hidden="false" customHeight="false" outlineLevel="0" collapsed="false">
      <c r="A60" s="14" t="s">
        <v>120</v>
      </c>
      <c r="B60" s="36" t="n">
        <f aca="false">IF(B57="n/a",0,B10/B57)</f>
        <v>2.93236666666667</v>
      </c>
    </row>
    <row r="62" customFormat="false" ht="24" hidden="false" customHeight="true" outlineLevel="0" collapsed="false">
      <c r="A62" s="6" t="s">
        <v>121</v>
      </c>
      <c r="B62" s="6"/>
      <c r="C62" s="6"/>
      <c r="D62" s="6"/>
    </row>
    <row r="63" customFormat="false" ht="15" hidden="false" customHeight="false" outlineLevel="0" collapsed="false">
      <c r="A63" s="14" t="s">
        <v>122</v>
      </c>
      <c r="B63" s="25" t="n">
        <f aca="false">B10*B8</f>
        <v>10495.8</v>
      </c>
    </row>
    <row r="64" customFormat="false" ht="15" hidden="false" customHeight="false" outlineLevel="0" collapsed="false">
      <c r="A64" s="14" t="s">
        <v>123</v>
      </c>
      <c r="B64" s="25" t="n">
        <f aca="false">B10*B23</f>
        <v>1764</v>
      </c>
    </row>
    <row r="65" customFormat="false" ht="15" hidden="false" customHeight="false" outlineLevel="0" collapsed="false">
      <c r="A65" s="14" t="s">
        <v>99</v>
      </c>
      <c r="B65" s="25" t="n">
        <f aca="false">B10*B29</f>
        <v>3716.37</v>
      </c>
    </row>
    <row r="66" customFormat="false" ht="15" hidden="false" customHeight="false" outlineLevel="0" collapsed="false">
      <c r="A66" s="14" t="s">
        <v>102</v>
      </c>
      <c r="B66" s="25" t="n">
        <f aca="false">B32</f>
        <v>1260</v>
      </c>
    </row>
    <row r="67" customFormat="false" ht="15" hidden="false" customHeight="false" outlineLevel="0" collapsed="false">
      <c r="A67" s="14" t="s">
        <v>105</v>
      </c>
      <c r="B67" s="25" t="n">
        <f aca="false">B34*B35</f>
        <v>165</v>
      </c>
    </row>
    <row r="68" customFormat="false" ht="15" hidden="false" customHeight="false" outlineLevel="0" collapsed="false">
      <c r="A68" s="14" t="s">
        <v>124</v>
      </c>
      <c r="B68" s="25" t="n">
        <f aca="false">B43</f>
        <v>900</v>
      </c>
    </row>
    <row r="69" customFormat="false" ht="15" hidden="false" customHeight="false" outlineLevel="0" collapsed="false">
      <c r="A69" s="14" t="s">
        <v>125</v>
      </c>
      <c r="B69" s="25" t="n">
        <f aca="false">B11*B44</f>
        <v>900</v>
      </c>
    </row>
    <row r="70" customFormat="false" ht="15" hidden="false" customHeight="false" outlineLevel="0" collapsed="false">
      <c r="A70" s="14" t="s">
        <v>126</v>
      </c>
      <c r="B70" s="27" t="n">
        <f aca="false">B63-SUM(B64:B69)</f>
        <v>1790.43</v>
      </c>
    </row>
    <row r="71" customFormat="false" ht="15" hidden="false" customHeight="false" outlineLevel="0" collapsed="false">
      <c r="A71" s="14" t="s">
        <v>127</v>
      </c>
      <c r="B71" s="25" t="n">
        <f aca="false">MAX(0,B9-B10)*B22</f>
        <v>3749.7</v>
      </c>
      <c r="D71" s="26" t="s">
        <v>128</v>
      </c>
    </row>
    <row r="73" customFormat="false" ht="24" hidden="false" customHeight="true" outlineLevel="0" collapsed="false">
      <c r="A73" s="6" t="s">
        <v>129</v>
      </c>
      <c r="B73" s="6"/>
      <c r="C73" s="6"/>
      <c r="D73" s="6"/>
    </row>
    <row r="74" customFormat="false" ht="33.75" hidden="false" customHeight="true" outlineLevel="0" collapsed="false">
      <c r="A74" s="37" t="str">
        <f aca="false">IF(B53&lt;0,"This product loses money on every unit at the current price and cost. Do not scale it until the unit economics work.",IF(B54&lt;0.15,"The margin is thin. A small fee, freight or ad-cost increase can turn it negative. ", "The unit margin has room. Test it against a lower price and a higher ad cost before you commit."))</f>
        <v>The unit margin has room. Test it against a lower price and a higher ad cost before you commit.</v>
      </c>
      <c r="B74" s="37"/>
      <c r="C74" s="37"/>
      <c r="D74" s="37"/>
      <c r="E74" s="37"/>
      <c r="F74" s="37"/>
      <c r="G74" s="37"/>
    </row>
    <row r="75" customFormat="false" ht="33.75" hidden="false" customHeight="true" outlineLevel="0" collapsed="false">
      <c r="A75" s="10" t="str">
        <f aca="false">IF(B70&lt;0,"Profit so far is negative after upfront and fixed costs. You need more units, a higher contribution, or lower launch costs.", "Profit so far is "&amp;TEXT(B70,"$#,##0")&amp;"; the launch costs are "&amp;TEXT(B60,"0%")&amp;" recovered.")</f>
        <v>Profit so far is $1,790; the launch costs are 293% recovered.</v>
      </c>
      <c r="B75" s="10"/>
      <c r="C75" s="10"/>
      <c r="D75" s="10"/>
      <c r="E75" s="10"/>
      <c r="F75" s="10"/>
      <c r="G75" s="10"/>
    </row>
  </sheetData>
  <mergeCells count="16">
    <mergeCell ref="A1:D1"/>
    <mergeCell ref="E1:J1"/>
    <mergeCell ref="A2:J2"/>
    <mergeCell ref="A3:J3"/>
    <mergeCell ref="A4:J4"/>
    <mergeCell ref="A6:D6"/>
    <mergeCell ref="F6:G6"/>
    <mergeCell ref="A14:D14"/>
    <mergeCell ref="A25:D25"/>
    <mergeCell ref="A31:D31"/>
    <mergeCell ref="A38:D38"/>
    <mergeCell ref="A46:D46"/>
    <mergeCell ref="A62:D62"/>
    <mergeCell ref="A73:D73"/>
    <mergeCell ref="A74:G74"/>
    <mergeCell ref="A75:G75"/>
  </mergeCells>
  <conditionalFormatting sqref="B53">
    <cfRule type="cellIs" priority="2" operator="lessThan" aboveAverage="0" equalAverage="0" bottom="0" percent="0" rank="0" text="" dxfId="0">
      <formula>0</formula>
    </cfRule>
  </conditionalFormatting>
  <conditionalFormatting sqref="B70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13"/>
    <col collapsed="false" customWidth="true" hidden="false" outlineLevel="0" max="9" min="6" style="0" width="12"/>
    <col collapsed="false" customWidth="true" hidden="false" outlineLevel="0" max="11" min="10" style="0" width="13"/>
    <col collapsed="false" customWidth="true" hidden="false" outlineLevel="0" max="12" min="12" style="0" width="12"/>
    <col collapsed="false" customWidth="true" hidden="false" outlineLevel="0" max="14" min="14" style="0" width="14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</row>
    <row r="2" customFormat="false" ht="33.75" hidden="false" customHeight="true" outlineLevel="0" collapsed="false">
      <c r="A2" s="3" t="s">
        <v>130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false" ht="30" hidden="false" customHeight="true" outlineLevel="0" collapsed="false">
      <c r="A3" s="4" t="s">
        <v>131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customFormat="false" ht="15" hidden="false" customHeight="false" outlineLevel="0" collapsed="false">
      <c r="A5" s="14" t="s">
        <v>132</v>
      </c>
      <c r="B5" s="38" t="n">
        <f aca="false">IFERROR('Unit economics'!B10/'Unit economics'!B11,0)</f>
        <v>70</v>
      </c>
    </row>
    <row r="6" customFormat="false" ht="15" hidden="false" customHeight="false" outlineLevel="0" collapsed="false">
      <c r="A6" s="14" t="s">
        <v>133</v>
      </c>
      <c r="B6" s="23" t="n">
        <v>0.03</v>
      </c>
    </row>
    <row r="7" customFormat="false" ht="15" hidden="false" customHeight="false" outlineLevel="0" collapsed="false">
      <c r="B7" s="39" t="s">
        <v>134</v>
      </c>
      <c r="C7" s="39"/>
      <c r="D7" s="39"/>
      <c r="E7" s="39"/>
      <c r="F7" s="39"/>
      <c r="G7" s="39"/>
      <c r="H7" s="39"/>
      <c r="I7" s="39"/>
      <c r="J7" s="39"/>
      <c r="K7" s="39"/>
      <c r="L7" s="39"/>
    </row>
    <row r="9" customFormat="false" ht="24" hidden="false" customHeight="true" outlineLevel="0" collapsed="false">
      <c r="A9" s="6" t="s">
        <v>135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customFormat="false" ht="15" hidden="false" customHeight="false" outlineLevel="0" collapsed="false">
      <c r="A10" s="40" t="s">
        <v>136</v>
      </c>
      <c r="B10" s="22" t="n">
        <v>0.85</v>
      </c>
      <c r="C10" s="22" t="n">
        <v>0.85</v>
      </c>
      <c r="D10" s="22" t="n">
        <v>0.95</v>
      </c>
      <c r="E10" s="22" t="n">
        <v>1</v>
      </c>
      <c r="F10" s="22" t="n">
        <v>1</v>
      </c>
      <c r="G10" s="22" t="n">
        <v>1</v>
      </c>
      <c r="H10" s="22" t="n">
        <v>1</v>
      </c>
      <c r="I10" s="22" t="n">
        <v>1</v>
      </c>
      <c r="J10" s="22" t="n">
        <v>1.05</v>
      </c>
      <c r="K10" s="22" t="n">
        <v>1.1</v>
      </c>
      <c r="L10" s="22" t="n">
        <v>1.35</v>
      </c>
      <c r="M10" s="22" t="n">
        <v>1.2</v>
      </c>
    </row>
    <row r="11" customFormat="false" ht="31.5" hidden="false" customHeight="true" outlineLevel="0" collapsed="false">
      <c r="A11" s="41" t="s">
        <v>137</v>
      </c>
      <c r="B11" s="41" t="s">
        <v>138</v>
      </c>
      <c r="C11" s="41" t="s">
        <v>139</v>
      </c>
      <c r="D11" s="41" t="s">
        <v>140</v>
      </c>
      <c r="E11" s="41" t="s">
        <v>141</v>
      </c>
      <c r="F11" s="41" t="s">
        <v>142</v>
      </c>
      <c r="G11" s="41" t="s">
        <v>143</v>
      </c>
      <c r="H11" s="41" t="s">
        <v>144</v>
      </c>
      <c r="I11" s="41" t="s">
        <v>145</v>
      </c>
      <c r="J11" s="41" t="s">
        <v>146</v>
      </c>
      <c r="K11" s="41" t="s">
        <v>147</v>
      </c>
      <c r="L11" s="41" t="s">
        <v>148</v>
      </c>
      <c r="M11" s="41" t="s">
        <v>149</v>
      </c>
      <c r="N11" s="42" t="s">
        <v>150</v>
      </c>
    </row>
    <row r="12" customFormat="false" ht="15" hidden="false" customHeight="false" outlineLevel="0" collapsed="false">
      <c r="A12" s="43" t="s">
        <v>151</v>
      </c>
      <c r="B12" s="44" t="n">
        <f aca="false">ROUND($B$5*(1+$B$6)^0*B$10,0)</f>
        <v>60</v>
      </c>
      <c r="C12" s="44" t="n">
        <f aca="false">ROUND($B$5*(1+$B$6)^1*C$10,0)</f>
        <v>61</v>
      </c>
      <c r="D12" s="44" t="n">
        <f aca="false">ROUND($B$5*(1+$B$6)^2*D$10,0)</f>
        <v>71</v>
      </c>
      <c r="E12" s="44" t="n">
        <f aca="false">ROUND($B$5*(1+$B$6)^3*E$10,0)</f>
        <v>76</v>
      </c>
      <c r="F12" s="44" t="n">
        <f aca="false">ROUND($B$5*(1+$B$6)^4*F$10,0)</f>
        <v>79</v>
      </c>
      <c r="G12" s="44" t="n">
        <f aca="false">ROUND($B$5*(1+$B$6)^5*G$10,0)</f>
        <v>81</v>
      </c>
      <c r="H12" s="44" t="n">
        <f aca="false">ROUND($B$5*(1+$B$6)^6*H$10,0)</f>
        <v>84</v>
      </c>
      <c r="I12" s="44" t="n">
        <f aca="false">ROUND($B$5*(1+$B$6)^7*I$10,0)</f>
        <v>86</v>
      </c>
      <c r="J12" s="44" t="n">
        <f aca="false">ROUND($B$5*(1+$B$6)^8*J$10,0)</f>
        <v>93</v>
      </c>
      <c r="K12" s="44" t="n">
        <f aca="false">ROUND($B$5*(1+$B$6)^9*K$10,0)</f>
        <v>100</v>
      </c>
      <c r="L12" s="44" t="n">
        <f aca="false">ROUND($B$5*(1+$B$6)^10*L$10,0)</f>
        <v>127</v>
      </c>
      <c r="M12" s="44" t="n">
        <f aca="false">ROUND($B$5*(1+$B$6)^11*M$10,0)</f>
        <v>116</v>
      </c>
      <c r="N12" s="45" t="n">
        <f aca="false">SUM(B12:M12)</f>
        <v>1034</v>
      </c>
    </row>
    <row r="13" customFormat="false" ht="15" hidden="false" customHeight="false" outlineLevel="0" collapsed="false">
      <c r="A13" s="43" t="s">
        <v>152</v>
      </c>
      <c r="B13" s="46" t="n">
        <f aca="false">B12*'Unit economics'!$B$8</f>
        <v>1499.4</v>
      </c>
      <c r="C13" s="46" t="n">
        <f aca="false">C12*'Unit economics'!$B$8</f>
        <v>1524.39</v>
      </c>
      <c r="D13" s="46" t="n">
        <f aca="false">D12*'Unit economics'!$B$8</f>
        <v>1774.29</v>
      </c>
      <c r="E13" s="46" t="n">
        <f aca="false">E12*'Unit economics'!$B$8</f>
        <v>1899.24</v>
      </c>
      <c r="F13" s="46" t="n">
        <f aca="false">F12*'Unit economics'!$B$8</f>
        <v>1974.21</v>
      </c>
      <c r="G13" s="46" t="n">
        <f aca="false">G12*'Unit economics'!$B$8</f>
        <v>2024.19</v>
      </c>
      <c r="H13" s="46" t="n">
        <f aca="false">H12*'Unit economics'!$B$8</f>
        <v>2099.16</v>
      </c>
      <c r="I13" s="46" t="n">
        <f aca="false">I12*'Unit economics'!$B$8</f>
        <v>2149.14</v>
      </c>
      <c r="J13" s="46" t="n">
        <f aca="false">J12*'Unit economics'!$B$8</f>
        <v>2324.07</v>
      </c>
      <c r="K13" s="46" t="n">
        <f aca="false">K12*'Unit economics'!$B$8</f>
        <v>2499</v>
      </c>
      <c r="L13" s="46" t="n">
        <f aca="false">L12*'Unit economics'!$B$8</f>
        <v>3173.73</v>
      </c>
      <c r="M13" s="46" t="n">
        <f aca="false">M12*'Unit economics'!$B$8</f>
        <v>2898.84</v>
      </c>
      <c r="N13" s="47" t="n">
        <f aca="false">SUM(B13:M13)</f>
        <v>25839.66</v>
      </c>
    </row>
    <row r="14" customFormat="false" ht="15" hidden="false" customHeight="false" outlineLevel="0" collapsed="false">
      <c r="A14" s="43" t="s">
        <v>153</v>
      </c>
      <c r="B14" s="46" t="n">
        <f aca="false">B12*'Unit economics'!$B$23</f>
        <v>252</v>
      </c>
      <c r="C14" s="46" t="n">
        <f aca="false">C12*'Unit economics'!$B$23</f>
        <v>256.2</v>
      </c>
      <c r="D14" s="46" t="n">
        <f aca="false">D12*'Unit economics'!$B$23</f>
        <v>298.2</v>
      </c>
      <c r="E14" s="46" t="n">
        <f aca="false">E12*'Unit economics'!$B$23</f>
        <v>319.2</v>
      </c>
      <c r="F14" s="46" t="n">
        <f aca="false">F12*'Unit economics'!$B$23</f>
        <v>331.8</v>
      </c>
      <c r="G14" s="46" t="n">
        <f aca="false">G12*'Unit economics'!$B$23</f>
        <v>340.2</v>
      </c>
      <c r="H14" s="46" t="n">
        <f aca="false">H12*'Unit economics'!$B$23</f>
        <v>352.8</v>
      </c>
      <c r="I14" s="46" t="n">
        <f aca="false">I12*'Unit economics'!$B$23</f>
        <v>361.2</v>
      </c>
      <c r="J14" s="46" t="n">
        <f aca="false">J12*'Unit economics'!$B$23</f>
        <v>390.6</v>
      </c>
      <c r="K14" s="46" t="n">
        <f aca="false">K12*'Unit economics'!$B$23</f>
        <v>420</v>
      </c>
      <c r="L14" s="46" t="n">
        <f aca="false">L12*'Unit economics'!$B$23</f>
        <v>533.4</v>
      </c>
      <c r="M14" s="46" t="n">
        <f aca="false">M12*'Unit economics'!$B$23</f>
        <v>487.2</v>
      </c>
      <c r="N14" s="47" t="n">
        <f aca="false">SUM(B14:M14)</f>
        <v>4342.8</v>
      </c>
    </row>
    <row r="15" customFormat="false" ht="15" hidden="false" customHeight="false" outlineLevel="0" collapsed="false">
      <c r="A15" s="43" t="s">
        <v>99</v>
      </c>
      <c r="B15" s="46" t="n">
        <f aca="false">B12*'Unit economics'!$B$29</f>
        <v>530.91</v>
      </c>
      <c r="C15" s="46" t="n">
        <f aca="false">C12*'Unit economics'!$B$29</f>
        <v>539.7585</v>
      </c>
      <c r="D15" s="46" t="n">
        <f aca="false">D12*'Unit economics'!$B$29</f>
        <v>628.2435</v>
      </c>
      <c r="E15" s="46" t="n">
        <f aca="false">E12*'Unit economics'!$B$29</f>
        <v>672.486</v>
      </c>
      <c r="F15" s="46" t="n">
        <f aca="false">F12*'Unit economics'!$B$29</f>
        <v>699.0315</v>
      </c>
      <c r="G15" s="46" t="n">
        <f aca="false">G12*'Unit economics'!$B$29</f>
        <v>716.7285</v>
      </c>
      <c r="H15" s="46" t="n">
        <f aca="false">H12*'Unit economics'!$B$29</f>
        <v>743.274</v>
      </c>
      <c r="I15" s="46" t="n">
        <f aca="false">I12*'Unit economics'!$B$29</f>
        <v>760.971</v>
      </c>
      <c r="J15" s="46" t="n">
        <f aca="false">J12*'Unit economics'!$B$29</f>
        <v>822.9105</v>
      </c>
      <c r="K15" s="46" t="n">
        <f aca="false">K12*'Unit economics'!$B$29</f>
        <v>884.85</v>
      </c>
      <c r="L15" s="46" t="n">
        <f aca="false">L12*'Unit economics'!$B$29</f>
        <v>1123.7595</v>
      </c>
      <c r="M15" s="46" t="n">
        <f aca="false">M12*'Unit economics'!$B$29</f>
        <v>1026.426</v>
      </c>
      <c r="N15" s="47" t="n">
        <f aca="false">SUM(B15:M15)</f>
        <v>9149.349</v>
      </c>
    </row>
    <row r="16" customFormat="false" ht="15" hidden="false" customHeight="false" outlineLevel="0" collapsed="false">
      <c r="A16" s="43" t="s">
        <v>102</v>
      </c>
      <c r="B16" s="46" t="n">
        <f aca="false">B12*'Unit economics'!$B$33</f>
        <v>180</v>
      </c>
      <c r="C16" s="46" t="n">
        <f aca="false">C12*'Unit economics'!$B$33</f>
        <v>183</v>
      </c>
      <c r="D16" s="46" t="n">
        <f aca="false">D12*'Unit economics'!$B$33</f>
        <v>213</v>
      </c>
      <c r="E16" s="46" t="n">
        <f aca="false">E12*'Unit economics'!$B$33</f>
        <v>228</v>
      </c>
      <c r="F16" s="46" t="n">
        <f aca="false">F12*'Unit economics'!$B$33</f>
        <v>237</v>
      </c>
      <c r="G16" s="46" t="n">
        <f aca="false">G12*'Unit economics'!$B$33</f>
        <v>243</v>
      </c>
      <c r="H16" s="46" t="n">
        <f aca="false">H12*'Unit economics'!$B$33</f>
        <v>252</v>
      </c>
      <c r="I16" s="46" t="n">
        <f aca="false">I12*'Unit economics'!$B$33</f>
        <v>258</v>
      </c>
      <c r="J16" s="46" t="n">
        <f aca="false">J12*'Unit economics'!$B$33</f>
        <v>279</v>
      </c>
      <c r="K16" s="46" t="n">
        <f aca="false">K12*'Unit economics'!$B$33</f>
        <v>300</v>
      </c>
      <c r="L16" s="46" t="n">
        <f aca="false">L12*'Unit economics'!$B$33</f>
        <v>381</v>
      </c>
      <c r="M16" s="46" t="n">
        <f aca="false">M12*'Unit economics'!$B$33</f>
        <v>348</v>
      </c>
      <c r="N16" s="47" t="n">
        <f aca="false">SUM(B16:M16)</f>
        <v>3102</v>
      </c>
    </row>
    <row r="17" customFormat="false" ht="15" hidden="false" customHeight="false" outlineLevel="0" collapsed="false">
      <c r="A17" s="43" t="s">
        <v>105</v>
      </c>
      <c r="B17" s="46" t="n">
        <f aca="false">B12*'Unit economics'!$B$36</f>
        <v>23.5714285714286</v>
      </c>
      <c r="C17" s="46" t="n">
        <f aca="false">C12*'Unit economics'!$B$36</f>
        <v>23.9642857142857</v>
      </c>
      <c r="D17" s="46" t="n">
        <f aca="false">D12*'Unit economics'!$B$36</f>
        <v>27.8928571428571</v>
      </c>
      <c r="E17" s="46" t="n">
        <f aca="false">E12*'Unit economics'!$B$36</f>
        <v>29.8571428571429</v>
      </c>
      <c r="F17" s="46" t="n">
        <f aca="false">F12*'Unit economics'!$B$36</f>
        <v>31.0357142857143</v>
      </c>
      <c r="G17" s="46" t="n">
        <f aca="false">G12*'Unit economics'!$B$36</f>
        <v>31.8214285714286</v>
      </c>
      <c r="H17" s="46" t="n">
        <f aca="false">H12*'Unit economics'!$B$36</f>
        <v>33</v>
      </c>
      <c r="I17" s="46" t="n">
        <f aca="false">I12*'Unit economics'!$B$36</f>
        <v>33.7857142857143</v>
      </c>
      <c r="J17" s="46" t="n">
        <f aca="false">J12*'Unit economics'!$B$36</f>
        <v>36.5357142857143</v>
      </c>
      <c r="K17" s="46" t="n">
        <f aca="false">K12*'Unit economics'!$B$36</f>
        <v>39.2857142857143</v>
      </c>
      <c r="L17" s="46" t="n">
        <f aca="false">L12*'Unit economics'!$B$36</f>
        <v>49.8928571428571</v>
      </c>
      <c r="M17" s="46" t="n">
        <f aca="false">M12*'Unit economics'!$B$36</f>
        <v>45.5714285714286</v>
      </c>
      <c r="N17" s="47" t="n">
        <f aca="false">SUM(B17:M17)</f>
        <v>406.214285714286</v>
      </c>
    </row>
    <row r="18" customFormat="false" ht="15" hidden="false" customHeight="false" outlineLevel="0" collapsed="false">
      <c r="A18" s="43" t="s">
        <v>154</v>
      </c>
      <c r="B18" s="46" t="n">
        <f aca="false">'Unit economics'!$B$44</f>
        <v>150</v>
      </c>
      <c r="C18" s="46" t="n">
        <f aca="false">'Unit economics'!$B$44</f>
        <v>150</v>
      </c>
      <c r="D18" s="46" t="n">
        <f aca="false">'Unit economics'!$B$44</f>
        <v>150</v>
      </c>
      <c r="E18" s="46" t="n">
        <f aca="false">'Unit economics'!$B$44</f>
        <v>150</v>
      </c>
      <c r="F18" s="46" t="n">
        <f aca="false">'Unit economics'!$B$44</f>
        <v>150</v>
      </c>
      <c r="G18" s="46" t="n">
        <f aca="false">'Unit economics'!$B$44</f>
        <v>150</v>
      </c>
      <c r="H18" s="46" t="n">
        <f aca="false">'Unit economics'!$B$44</f>
        <v>150</v>
      </c>
      <c r="I18" s="46" t="n">
        <f aca="false">'Unit economics'!$B$44</f>
        <v>150</v>
      </c>
      <c r="J18" s="46" t="n">
        <f aca="false">'Unit economics'!$B$44</f>
        <v>150</v>
      </c>
      <c r="K18" s="46" t="n">
        <f aca="false">'Unit economics'!$B$44</f>
        <v>150</v>
      </c>
      <c r="L18" s="46" t="n">
        <f aca="false">'Unit economics'!$B$44</f>
        <v>150</v>
      </c>
      <c r="M18" s="46" t="n">
        <f aca="false">'Unit economics'!$B$44</f>
        <v>150</v>
      </c>
      <c r="N18" s="47" t="n">
        <f aca="false">SUM(B18:M18)</f>
        <v>1800</v>
      </c>
    </row>
    <row r="19" customFormat="false" ht="15" hidden="false" customHeight="false" outlineLevel="0" collapsed="false">
      <c r="A19" s="43" t="s">
        <v>108</v>
      </c>
      <c r="B19" s="46" t="n">
        <f aca="false">B13-SUM(B14:B18)</f>
        <v>362.918571428571</v>
      </c>
      <c r="C19" s="46" t="n">
        <f aca="false">C13-SUM(C14:C18)</f>
        <v>371.467214285714</v>
      </c>
      <c r="D19" s="46" t="n">
        <f aca="false">D13-SUM(D14:D18)</f>
        <v>456.953642857143</v>
      </c>
      <c r="E19" s="46" t="n">
        <f aca="false">E13-SUM(E14:E18)</f>
        <v>499.696857142857</v>
      </c>
      <c r="F19" s="46" t="n">
        <f aca="false">F13-SUM(F14:F18)</f>
        <v>525.342785714286</v>
      </c>
      <c r="G19" s="46" t="n">
        <f aca="false">G13-SUM(G14:G18)</f>
        <v>542.440071428571</v>
      </c>
      <c r="H19" s="46" t="n">
        <f aca="false">H13-SUM(H14:H18)</f>
        <v>568.086</v>
      </c>
      <c r="I19" s="46" t="n">
        <f aca="false">I13-SUM(I14:I18)</f>
        <v>585.183285714286</v>
      </c>
      <c r="J19" s="46" t="n">
        <f aca="false">J13-SUM(J14:J18)</f>
        <v>645.023785714285</v>
      </c>
      <c r="K19" s="46" t="n">
        <f aca="false">K13-SUM(K14:K18)</f>
        <v>704.864285714286</v>
      </c>
      <c r="L19" s="46" t="n">
        <f aca="false">L13-SUM(L14:L18)</f>
        <v>935.677642857143</v>
      </c>
      <c r="M19" s="46" t="n">
        <f aca="false">M13-SUM(M14:M18)</f>
        <v>841.642571428571</v>
      </c>
      <c r="N19" s="47" t="n">
        <f aca="false">SUM(B19:M19)</f>
        <v>7039.29671428571</v>
      </c>
    </row>
    <row r="20" customFormat="false" ht="15" hidden="false" customHeight="false" outlineLevel="0" collapsed="false">
      <c r="A20" s="43" t="s">
        <v>155</v>
      </c>
      <c r="B20" s="46" t="n">
        <f aca="false">B19</f>
        <v>362.918571428571</v>
      </c>
      <c r="C20" s="46" t="n">
        <f aca="false">B20+C19</f>
        <v>734.385785714286</v>
      </c>
      <c r="D20" s="46" t="n">
        <f aca="false">C20+D19</f>
        <v>1191.33942857143</v>
      </c>
      <c r="E20" s="46" t="n">
        <f aca="false">D20+E19</f>
        <v>1691.03628571429</v>
      </c>
      <c r="F20" s="46" t="n">
        <f aca="false">E20+F19</f>
        <v>2216.37907142857</v>
      </c>
      <c r="G20" s="46" t="n">
        <f aca="false">F20+G19</f>
        <v>2758.81914285714</v>
      </c>
      <c r="H20" s="46" t="n">
        <f aca="false">G20+H19</f>
        <v>3326.90514285714</v>
      </c>
      <c r="I20" s="46" t="n">
        <f aca="false">H20+I19</f>
        <v>3912.08842857143</v>
      </c>
      <c r="J20" s="46" t="n">
        <f aca="false">I20+J19</f>
        <v>4557.11221428571</v>
      </c>
      <c r="K20" s="46" t="n">
        <f aca="false">J20+K19</f>
        <v>5261.9765</v>
      </c>
      <c r="L20" s="46" t="n">
        <f aca="false">K20+L19</f>
        <v>6197.65414285714</v>
      </c>
      <c r="M20" s="46" t="n">
        <f aca="false">L20+M19</f>
        <v>7039.29671428571</v>
      </c>
      <c r="N20" s="47" t="n">
        <f aca="false">M20</f>
        <v>7039.29671428571</v>
      </c>
    </row>
  </sheetData>
  <mergeCells count="7">
    <mergeCell ref="A1:D1"/>
    <mergeCell ref="E1:M1"/>
    <mergeCell ref="A2:M2"/>
    <mergeCell ref="A3:M3"/>
    <mergeCell ref="A4:M4"/>
    <mergeCell ref="B7:L7"/>
    <mergeCell ref="A9:N9"/>
  </mergeCells>
  <conditionalFormatting sqref="B19:M19">
    <cfRule type="cellIs" priority="2" operator="lessThan" aboveAverage="0" equalAverage="0" bottom="0" percent="0" rank="0" text="" dxfId="0">
      <formula>0</formula>
    </cfRule>
  </conditionalFormatting>
  <conditionalFormatting sqref="B20:M20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6" min="2" style="0" width="15"/>
    <col collapsed="false" customWidth="true" hidden="false" outlineLevel="0" max="7" min="7" style="0" width="2"/>
    <col collapsed="false" customWidth="true" hidden="false" outlineLevel="0" max="8" min="8" style="0" width="16"/>
    <col collapsed="false" customWidth="true" hidden="false" outlineLevel="0" max="9" min="9" style="0" width="15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  <c r="G1" s="2"/>
    </row>
    <row r="2" customFormat="false" ht="33.75" hidden="false" customHeight="true" outlineLevel="0" collapsed="false">
      <c r="A2" s="3" t="s">
        <v>156</v>
      </c>
      <c r="B2" s="3"/>
      <c r="C2" s="3"/>
      <c r="D2" s="3"/>
      <c r="E2" s="3"/>
      <c r="F2" s="3"/>
      <c r="G2" s="3"/>
    </row>
    <row r="3" customFormat="false" ht="30" hidden="false" customHeight="true" outlineLevel="0" collapsed="false">
      <c r="A3" s="4" t="s">
        <v>157</v>
      </c>
      <c r="B3" s="4"/>
      <c r="C3" s="4"/>
      <c r="D3" s="4"/>
      <c r="E3" s="4"/>
      <c r="F3" s="4"/>
      <c r="G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  <c r="G4" s="5"/>
    </row>
    <row r="6" customFormat="false" ht="15" hidden="false" customHeight="false" outlineLevel="0" collapsed="false">
      <c r="A6" s="14" t="s">
        <v>54</v>
      </c>
      <c r="B6" s="23" t="n">
        <v>0.2</v>
      </c>
      <c r="D6" s="26" t="s">
        <v>158</v>
      </c>
    </row>
    <row r="9" customFormat="false" ht="30" hidden="false" customHeight="true" outlineLevel="0" collapsed="false">
      <c r="A9" s="41" t="s">
        <v>159</v>
      </c>
      <c r="B9" s="41" t="s">
        <v>160</v>
      </c>
      <c r="C9" s="41" t="s">
        <v>161</v>
      </c>
      <c r="D9" s="41" t="s">
        <v>162</v>
      </c>
      <c r="E9" s="41" t="s">
        <v>163</v>
      </c>
      <c r="F9" s="41" t="s">
        <v>164</v>
      </c>
    </row>
    <row r="10" customFormat="false" ht="15" hidden="false" customHeight="false" outlineLevel="0" collapsed="false">
      <c r="A10" s="48" t="s">
        <v>165</v>
      </c>
      <c r="B10" s="19" t="n">
        <v>19.99</v>
      </c>
      <c r="C10" s="19" t="n">
        <v>22.99</v>
      </c>
      <c r="D10" s="19" t="n">
        <v>24.99</v>
      </c>
      <c r="E10" s="19" t="n">
        <v>27.99</v>
      </c>
      <c r="F10" s="19" t="n">
        <v>29.99</v>
      </c>
    </row>
    <row r="11" customFormat="false" ht="15" hidden="false" customHeight="false" outlineLevel="0" collapsed="false">
      <c r="A11" s="49" t="s">
        <v>166</v>
      </c>
      <c r="B11" s="50" t="n">
        <f aca="false">B10*'Unit economics'!$B$26</f>
        <v>2.9985</v>
      </c>
      <c r="C11" s="50" t="n">
        <f aca="false">C10*'Unit economics'!$B$26</f>
        <v>3.4485</v>
      </c>
      <c r="D11" s="50" t="n">
        <f aca="false">D10*'Unit economics'!$B$26</f>
        <v>3.7485</v>
      </c>
      <c r="E11" s="50" t="n">
        <f aca="false">E10*'Unit economics'!$B$26</f>
        <v>4.1985</v>
      </c>
      <c r="F11" s="50" t="n">
        <f aca="false">F10*'Unit economics'!$B$26</f>
        <v>4.4985</v>
      </c>
    </row>
    <row r="12" customFormat="false" ht="15" hidden="false" customHeight="false" outlineLevel="0" collapsed="false">
      <c r="A12" s="49" t="s">
        <v>167</v>
      </c>
      <c r="B12" s="50" t="n">
        <f aca="false">'Unit economics'!$B$27</f>
        <v>5.1</v>
      </c>
      <c r="C12" s="50" t="n">
        <f aca="false">'Unit economics'!$B$27</f>
        <v>5.1</v>
      </c>
      <c r="D12" s="50" t="n">
        <f aca="false">'Unit economics'!$B$27</f>
        <v>5.1</v>
      </c>
      <c r="E12" s="50" t="n">
        <f aca="false">'Unit economics'!$B$27</f>
        <v>5.1</v>
      </c>
      <c r="F12" s="50" t="n">
        <f aca="false">'Unit economics'!$B$27</f>
        <v>5.1</v>
      </c>
    </row>
    <row r="13" customFormat="false" ht="15" hidden="false" customHeight="false" outlineLevel="0" collapsed="false">
      <c r="A13" s="49" t="s">
        <v>168</v>
      </c>
      <c r="B13" s="50" t="n">
        <f aca="false">'Unit economics'!$B$28</f>
        <v>0</v>
      </c>
      <c r="C13" s="50" t="n">
        <f aca="false">'Unit economics'!$B$28</f>
        <v>0</v>
      </c>
      <c r="D13" s="50" t="n">
        <f aca="false">'Unit economics'!$B$28</f>
        <v>0</v>
      </c>
      <c r="E13" s="50" t="n">
        <f aca="false">'Unit economics'!$B$28</f>
        <v>0</v>
      </c>
      <c r="F13" s="50" t="n">
        <f aca="false">'Unit economics'!$B$28</f>
        <v>0</v>
      </c>
    </row>
    <row r="14" customFormat="false" ht="15" hidden="false" customHeight="false" outlineLevel="0" collapsed="false">
      <c r="A14" s="43" t="s">
        <v>169</v>
      </c>
      <c r="B14" s="50" t="n">
        <f aca="false">SUM(B11:B13)</f>
        <v>8.0985</v>
      </c>
      <c r="C14" s="50" t="n">
        <f aca="false">SUM(C11:C13)</f>
        <v>8.5485</v>
      </c>
      <c r="D14" s="50" t="n">
        <f aca="false">SUM(D11:D13)</f>
        <v>8.8485</v>
      </c>
      <c r="E14" s="50" t="n">
        <f aca="false">SUM(E11:E13)</f>
        <v>9.2985</v>
      </c>
      <c r="F14" s="50" t="n">
        <f aca="false">SUM(F11:F13)</f>
        <v>9.5985</v>
      </c>
    </row>
    <row r="15" customFormat="false" ht="15" hidden="false" customHeight="false" outlineLevel="0" collapsed="false">
      <c r="A15" s="49" t="s">
        <v>96</v>
      </c>
      <c r="B15" s="50" t="n">
        <f aca="false">'Unit economics'!$B$22</f>
        <v>6.465</v>
      </c>
      <c r="C15" s="50" t="n">
        <f aca="false">'Unit economics'!$B$22</f>
        <v>6.465</v>
      </c>
      <c r="D15" s="50" t="n">
        <f aca="false">'Unit economics'!$B$22</f>
        <v>6.465</v>
      </c>
      <c r="E15" s="50" t="n">
        <f aca="false">'Unit economics'!$B$22</f>
        <v>6.465</v>
      </c>
      <c r="F15" s="50" t="n">
        <f aca="false">'Unit economics'!$B$22</f>
        <v>6.465</v>
      </c>
    </row>
    <row r="16" customFormat="false" ht="15" hidden="false" customHeight="false" outlineLevel="0" collapsed="false">
      <c r="A16" s="49" t="s">
        <v>102</v>
      </c>
      <c r="B16" s="50" t="n">
        <f aca="false">'Unit economics'!$B$33</f>
        <v>3</v>
      </c>
      <c r="C16" s="50" t="n">
        <f aca="false">'Unit economics'!$B$33</f>
        <v>3</v>
      </c>
      <c r="D16" s="50" t="n">
        <f aca="false">'Unit economics'!$B$33</f>
        <v>3</v>
      </c>
      <c r="E16" s="50" t="n">
        <f aca="false">'Unit economics'!$B$33</f>
        <v>3</v>
      </c>
      <c r="F16" s="50" t="n">
        <f aca="false">'Unit economics'!$B$33</f>
        <v>3</v>
      </c>
    </row>
    <row r="17" customFormat="false" ht="15" hidden="false" customHeight="false" outlineLevel="0" collapsed="false">
      <c r="A17" s="49" t="s">
        <v>105</v>
      </c>
      <c r="B17" s="50" t="n">
        <f aca="false">'Unit economics'!$B$36</f>
        <v>0.392857142857143</v>
      </c>
      <c r="C17" s="50" t="n">
        <f aca="false">'Unit economics'!$B$36</f>
        <v>0.392857142857143</v>
      </c>
      <c r="D17" s="50" t="n">
        <f aca="false">'Unit economics'!$B$36</f>
        <v>0.392857142857143</v>
      </c>
      <c r="E17" s="50" t="n">
        <f aca="false">'Unit economics'!$B$36</f>
        <v>0.392857142857143</v>
      </c>
      <c r="F17" s="50" t="n">
        <f aca="false">'Unit economics'!$B$36</f>
        <v>0.392857142857143</v>
      </c>
    </row>
    <row r="18" customFormat="false" ht="15" hidden="false" customHeight="false" outlineLevel="0" collapsed="false">
      <c r="A18" s="43" t="s">
        <v>115</v>
      </c>
      <c r="B18" s="51" t="n">
        <f aca="false">B10-B14-B15-B16-B17</f>
        <v>2.03364285714286</v>
      </c>
      <c r="C18" s="51" t="n">
        <f aca="false">C10-C14-C15-C16-C17</f>
        <v>4.58364285714286</v>
      </c>
      <c r="D18" s="51" t="n">
        <f aca="false">D10-D14-D15-D16-D17</f>
        <v>6.28364285714286</v>
      </c>
      <c r="E18" s="51" t="n">
        <f aca="false">E10-E14-E15-E16-E17</f>
        <v>8.83364285714286</v>
      </c>
      <c r="F18" s="51" t="n">
        <f aca="false">F10-F14-F15-F16-F17</f>
        <v>10.5336428571429</v>
      </c>
    </row>
    <row r="19" customFormat="false" ht="15" hidden="false" customHeight="false" outlineLevel="0" collapsed="false">
      <c r="A19" s="43" t="s">
        <v>48</v>
      </c>
      <c r="B19" s="52" t="n">
        <f aca="false">IFERROR(B18/B10,0)</f>
        <v>0.101733009361824</v>
      </c>
      <c r="C19" s="52" t="n">
        <f aca="false">IFERROR(C18/C10,0)</f>
        <v>0.199375504877897</v>
      </c>
      <c r="D19" s="52" t="n">
        <f aca="false">IFERROR(D18/D10,0)</f>
        <v>0.251446292802835</v>
      </c>
      <c r="E19" s="52" t="n">
        <f aca="false">IFERROR(E18/E10,0)</f>
        <v>0.315599959169091</v>
      </c>
      <c r="F19" s="52" t="n">
        <f aca="false">IFERROR(F18/F10,0)</f>
        <v>0.35123850807412</v>
      </c>
    </row>
    <row r="20" customFormat="false" ht="15" hidden="false" customHeight="false" outlineLevel="0" collapsed="false">
      <c r="A20" s="49" t="s">
        <v>53</v>
      </c>
      <c r="B20" s="53" t="n">
        <f aca="false">IFERROR(B18/B15,0)</f>
        <v>0.314561926858911</v>
      </c>
      <c r="C20" s="53" t="n">
        <f aca="false">IFERROR(C18/C15,0)</f>
        <v>0.708993481383273</v>
      </c>
      <c r="D20" s="53" t="n">
        <f aca="false">IFERROR(D18/D15,0)</f>
        <v>0.971947851066181</v>
      </c>
      <c r="E20" s="53" t="n">
        <f aca="false">IFERROR(E18/E15,0)</f>
        <v>1.36637940559054</v>
      </c>
      <c r="F20" s="53" t="n">
        <f aca="false">IFERROR(F18/F15,0)</f>
        <v>1.62933377527345</v>
      </c>
    </row>
    <row r="21" customFormat="false" ht="15" hidden="false" customHeight="false" outlineLevel="0" collapsed="false">
      <c r="A21" s="49" t="s">
        <v>170</v>
      </c>
      <c r="B21" s="53" t="n">
        <f aca="false">IFERROR(B14/B10,0)</f>
        <v>0.405127563781891</v>
      </c>
      <c r="C21" s="53" t="n">
        <f aca="false">IFERROR(C14/C10,0)</f>
        <v>0.371835580687255</v>
      </c>
      <c r="D21" s="53" t="n">
        <f aca="false">IFERROR(D14/D10,0)</f>
        <v>0.354081632653061</v>
      </c>
      <c r="E21" s="53" t="n">
        <f aca="false">IFERROR(E14/E10,0)</f>
        <v>0.332207931404073</v>
      </c>
      <c r="F21" s="53" t="n">
        <f aca="false">IFERROR(F14/F10,0)</f>
        <v>0.320056685561854</v>
      </c>
    </row>
    <row r="22" customFormat="false" ht="15" hidden="false" customHeight="false" outlineLevel="0" collapsed="false">
      <c r="A22" s="43" t="s">
        <v>119</v>
      </c>
      <c r="B22" s="50" t="n">
        <f aca="false">IFERROR((B15+B12+B13+B16+B17)/(1-'Unit economics'!$B$26-$B$6),"n/a")</f>
        <v>23.0120879120879</v>
      </c>
      <c r="C22" s="50" t="n">
        <f aca="false">IFERROR((C15+B12+C13+C16+C17)/(1-'Unit economics'!$B$26-$B$6),"n/a")</f>
        <v>23.0120879120879</v>
      </c>
      <c r="D22" s="50" t="n">
        <f aca="false">IFERROR((D15+B12+D13+D16+D17)/(1-'Unit economics'!$B$26-$B$6),"n/a")</f>
        <v>23.0120879120879</v>
      </c>
      <c r="E22" s="50" t="n">
        <f aca="false">IFERROR((E15+B12+E13+E16+E17)/(1-'Unit economics'!$B$26-$B$6),"n/a")</f>
        <v>23.0120879120879</v>
      </c>
      <c r="F22" s="50" t="n">
        <f aca="false">IFERROR((F15+B12+F13+F16+F17)/(1-'Unit economics'!$B$26-$B$6),"n/a")</f>
        <v>23.0120879120879</v>
      </c>
    </row>
    <row r="23" customFormat="false" ht="15" hidden="false" customHeight="false" outlineLevel="0" collapsed="false">
      <c r="A23" s="43" t="s">
        <v>171</v>
      </c>
      <c r="B23" s="50" t="n">
        <f aca="false">B18*'Unit economics'!$B$10/'Unit economics'!$B$11-'Unit economics'!$B$44</f>
        <v>-7.64500000000007</v>
      </c>
      <c r="C23" s="50" t="n">
        <f aca="false">C18*'Unit economics'!$B$10/'Unit economics'!$B$11-'Unit economics'!$B$44</f>
        <v>170.855</v>
      </c>
      <c r="D23" s="50" t="n">
        <f aca="false">D18*'Unit economics'!$B$10/'Unit economics'!$B$11-'Unit economics'!$B$44</f>
        <v>289.855</v>
      </c>
      <c r="E23" s="50" t="n">
        <f aca="false">E18*'Unit economics'!$B$10/'Unit economics'!$B$11-'Unit economics'!$B$44</f>
        <v>468.355</v>
      </c>
      <c r="F23" s="50" t="n">
        <f aca="false">F18*'Unit economics'!$B$10/'Unit economics'!$B$11-'Unit economics'!$B$44</f>
        <v>587.355</v>
      </c>
    </row>
    <row r="25" customFormat="false" ht="33.75" hidden="false" customHeight="true" outlineLevel="0" collapsed="false">
      <c r="A25" s="54" t="s">
        <v>172</v>
      </c>
      <c r="B25" s="54"/>
      <c r="C25" s="54"/>
      <c r="D25" s="54"/>
      <c r="E25" s="54"/>
      <c r="F25" s="54"/>
    </row>
    <row r="27" customFormat="false" ht="15" hidden="false" customHeight="false" outlineLevel="0" collapsed="false">
      <c r="A27" s="26" t="s">
        <v>173</v>
      </c>
      <c r="B27" s="26" t="s">
        <v>108</v>
      </c>
    </row>
    <row r="28" customFormat="false" ht="15" hidden="false" customHeight="false" outlineLevel="0" collapsed="false">
      <c r="A28" s="55" t="n">
        <f aca="false">B10</f>
        <v>19.99</v>
      </c>
      <c r="B28" s="55" t="n">
        <f aca="false">B18</f>
        <v>2.03364285714286</v>
      </c>
    </row>
    <row r="29" customFormat="false" ht="15" hidden="false" customHeight="false" outlineLevel="0" collapsed="false">
      <c r="A29" s="55" t="n">
        <f aca="false">C10</f>
        <v>22.99</v>
      </c>
      <c r="B29" s="55" t="n">
        <f aca="false">C18</f>
        <v>4.58364285714286</v>
      </c>
    </row>
    <row r="30" customFormat="false" ht="15" hidden="false" customHeight="false" outlineLevel="0" collapsed="false">
      <c r="A30" s="55" t="n">
        <f aca="false">D10</f>
        <v>24.99</v>
      </c>
      <c r="B30" s="55" t="n">
        <f aca="false">D18</f>
        <v>6.28364285714286</v>
      </c>
    </row>
    <row r="31" customFormat="false" ht="15" hidden="false" customHeight="false" outlineLevel="0" collapsed="false">
      <c r="A31" s="55" t="n">
        <f aca="false">E10</f>
        <v>27.99</v>
      </c>
      <c r="B31" s="55" t="n">
        <f aca="false">E18</f>
        <v>8.83364285714286</v>
      </c>
    </row>
    <row r="32" customFormat="false" ht="15" hidden="false" customHeight="false" outlineLevel="0" collapsed="false">
      <c r="A32" s="55" t="n">
        <f aca="false">F10</f>
        <v>29.99</v>
      </c>
      <c r="B32" s="55" t="n">
        <f aca="false">F18</f>
        <v>10.5336428571429</v>
      </c>
    </row>
  </sheetData>
  <mergeCells count="6">
    <mergeCell ref="A1:D1"/>
    <mergeCell ref="E1:G1"/>
    <mergeCell ref="A2:G2"/>
    <mergeCell ref="A3:G3"/>
    <mergeCell ref="A4:G4"/>
    <mergeCell ref="A25:F25"/>
  </mergeCells>
  <conditionalFormatting sqref="B18:F1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3" min="3" style="0" width="16"/>
    <col collapsed="false" customWidth="true" hidden="false" outlineLevel="0" max="4" min="4" style="0" width="58"/>
    <col collapsed="false" customWidth="true" hidden="false" outlineLevel="0" max="6" min="5" style="0" width="4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2" t="s">
        <v>1</v>
      </c>
      <c r="F1" s="2"/>
    </row>
    <row r="2" customFormat="false" ht="33.75" hidden="false" customHeight="true" outlineLevel="0" collapsed="false">
      <c r="A2" s="3" t="s">
        <v>174</v>
      </c>
      <c r="B2" s="3"/>
      <c r="C2" s="3"/>
      <c r="D2" s="3"/>
      <c r="E2" s="3"/>
      <c r="F2" s="3"/>
    </row>
    <row r="3" customFormat="false" ht="30" hidden="false" customHeight="true" outlineLevel="0" collapsed="false">
      <c r="A3" s="4" t="s">
        <v>175</v>
      </c>
      <c r="B3" s="4"/>
      <c r="C3" s="4"/>
      <c r="D3" s="4"/>
      <c r="E3" s="4"/>
      <c r="F3" s="4"/>
    </row>
    <row r="4" customFormat="false" ht="18" hidden="false" customHeight="true" outlineLevel="0" collapsed="false">
      <c r="A4" s="5" t="s">
        <v>4</v>
      </c>
      <c r="B4" s="5"/>
      <c r="C4" s="5"/>
      <c r="D4" s="5"/>
      <c r="E4" s="5"/>
      <c r="F4" s="5"/>
    </row>
    <row r="6" customFormat="false" ht="24" hidden="false" customHeight="true" outlineLevel="0" collapsed="false">
      <c r="A6" s="6" t="s">
        <v>176</v>
      </c>
      <c r="B6" s="6"/>
      <c r="C6" s="6"/>
      <c r="D6" s="6"/>
      <c r="E6" s="6"/>
      <c r="F6" s="6"/>
    </row>
    <row r="7" customFormat="false" ht="30" hidden="false" customHeight="true" outlineLevel="0" collapsed="false">
      <c r="B7" s="41" t="s">
        <v>177</v>
      </c>
      <c r="C7" s="41" t="s">
        <v>166</v>
      </c>
      <c r="D7" s="41" t="s">
        <v>178</v>
      </c>
    </row>
    <row r="8" customFormat="false" ht="15" hidden="false" customHeight="false" outlineLevel="0" collapsed="false">
      <c r="B8" s="43" t="s">
        <v>179</v>
      </c>
      <c r="C8" s="49" t="s">
        <v>180</v>
      </c>
      <c r="D8" s="49" t="s">
        <v>181</v>
      </c>
    </row>
    <row r="9" customFormat="false" ht="15" hidden="false" customHeight="false" outlineLevel="0" collapsed="false">
      <c r="B9" s="43" t="s">
        <v>182</v>
      </c>
      <c r="C9" s="49" t="s">
        <v>180</v>
      </c>
      <c r="D9" s="49" t="s">
        <v>181</v>
      </c>
    </row>
    <row r="10" customFormat="false" ht="15" hidden="false" customHeight="false" outlineLevel="0" collapsed="false">
      <c r="B10" s="43" t="s">
        <v>183</v>
      </c>
      <c r="C10" s="49" t="s">
        <v>180</v>
      </c>
      <c r="D10" s="49" t="s">
        <v>181</v>
      </c>
    </row>
    <row r="11" customFormat="false" ht="15" hidden="false" customHeight="false" outlineLevel="0" collapsed="false">
      <c r="B11" s="43" t="s">
        <v>184</v>
      </c>
      <c r="C11" s="49" t="s">
        <v>180</v>
      </c>
      <c r="D11" s="49" t="s">
        <v>181</v>
      </c>
    </row>
    <row r="12" customFormat="false" ht="15" hidden="false" customHeight="false" outlineLevel="0" collapsed="false">
      <c r="B12" s="43" t="s">
        <v>185</v>
      </c>
      <c r="C12" s="49" t="s">
        <v>186</v>
      </c>
      <c r="D12" s="49" t="s">
        <v>187</v>
      </c>
    </row>
    <row r="13" customFormat="false" ht="15" hidden="false" customHeight="false" outlineLevel="0" collapsed="false">
      <c r="B13" s="43" t="s">
        <v>188</v>
      </c>
      <c r="C13" s="49" t="s">
        <v>189</v>
      </c>
      <c r="D13" s="49" t="s">
        <v>187</v>
      </c>
    </row>
    <row r="14" customFormat="false" ht="15" hidden="false" customHeight="false" outlineLevel="0" collapsed="false">
      <c r="B14" s="43" t="s">
        <v>190</v>
      </c>
      <c r="C14" s="49" t="s">
        <v>191</v>
      </c>
      <c r="D14" s="49" t="s">
        <v>181</v>
      </c>
    </row>
    <row r="15" customFormat="false" ht="15" hidden="false" customHeight="false" outlineLevel="0" collapsed="false">
      <c r="B15" s="43" t="s">
        <v>192</v>
      </c>
      <c r="C15" s="49" t="s">
        <v>193</v>
      </c>
      <c r="D15" s="49" t="s">
        <v>187</v>
      </c>
    </row>
    <row r="16" customFormat="false" ht="15" hidden="false" customHeight="false" outlineLevel="0" collapsed="false">
      <c r="B16" s="43" t="s">
        <v>194</v>
      </c>
      <c r="C16" s="49" t="s">
        <v>195</v>
      </c>
      <c r="D16" s="49" t="s">
        <v>187</v>
      </c>
    </row>
    <row r="17" customFormat="false" ht="15" hidden="false" customHeight="false" outlineLevel="0" collapsed="false">
      <c r="B17" s="43" t="s">
        <v>196</v>
      </c>
      <c r="C17" s="49" t="s">
        <v>197</v>
      </c>
      <c r="D17" s="49" t="s">
        <v>187</v>
      </c>
    </row>
    <row r="18" customFormat="false" ht="15" hidden="false" customHeight="false" outlineLevel="0" collapsed="false">
      <c r="B18" s="43" t="s">
        <v>198</v>
      </c>
      <c r="C18" s="49" t="s">
        <v>199</v>
      </c>
      <c r="D18" s="49" t="s">
        <v>200</v>
      </c>
    </row>
    <row r="19" customFormat="false" ht="15" hidden="false" customHeight="false" outlineLevel="0" collapsed="false">
      <c r="B19" s="43" t="s">
        <v>201</v>
      </c>
      <c r="C19" s="49" t="s">
        <v>180</v>
      </c>
      <c r="D19" s="49" t="s">
        <v>181</v>
      </c>
    </row>
    <row r="21" customFormat="false" ht="24" hidden="false" customHeight="true" outlineLevel="0" collapsed="false">
      <c r="A21" s="6" t="s">
        <v>202</v>
      </c>
      <c r="B21" s="6"/>
      <c r="C21" s="6"/>
      <c r="D21" s="6"/>
      <c r="E21" s="6"/>
      <c r="F21" s="6"/>
    </row>
    <row r="22" customFormat="false" ht="30" hidden="false" customHeight="true" outlineLevel="0" collapsed="false">
      <c r="B22" s="41" t="s">
        <v>203</v>
      </c>
      <c r="C22" s="41" t="s">
        <v>204</v>
      </c>
      <c r="D22" s="41" t="s">
        <v>205</v>
      </c>
    </row>
    <row r="23" customFormat="false" ht="15" hidden="false" customHeight="false" outlineLevel="0" collapsed="false">
      <c r="B23" s="43" t="s">
        <v>206</v>
      </c>
      <c r="C23" s="49" t="s">
        <v>207</v>
      </c>
      <c r="D23" s="49" t="s">
        <v>208</v>
      </c>
    </row>
    <row r="24" customFormat="false" ht="15" hidden="false" customHeight="false" outlineLevel="0" collapsed="false">
      <c r="B24" s="43" t="s">
        <v>206</v>
      </c>
      <c r="C24" s="49" t="s">
        <v>209</v>
      </c>
      <c r="D24" s="49" t="s">
        <v>210</v>
      </c>
    </row>
    <row r="25" customFormat="false" ht="15" hidden="false" customHeight="false" outlineLevel="0" collapsed="false">
      <c r="B25" s="43" t="s">
        <v>206</v>
      </c>
      <c r="C25" s="49" t="s">
        <v>211</v>
      </c>
      <c r="D25" s="49" t="s">
        <v>212</v>
      </c>
    </row>
    <row r="26" customFormat="false" ht="15" hidden="false" customHeight="false" outlineLevel="0" collapsed="false">
      <c r="B26" s="43" t="s">
        <v>206</v>
      </c>
      <c r="C26" s="49" t="s">
        <v>213</v>
      </c>
      <c r="D26" s="49" t="s">
        <v>214</v>
      </c>
    </row>
    <row r="27" customFormat="false" ht="15" hidden="false" customHeight="false" outlineLevel="0" collapsed="false">
      <c r="B27" s="43" t="s">
        <v>215</v>
      </c>
      <c r="C27" s="49" t="s">
        <v>216</v>
      </c>
      <c r="D27" s="49" t="s">
        <v>217</v>
      </c>
    </row>
    <row r="28" customFormat="false" ht="15" hidden="false" customHeight="false" outlineLevel="0" collapsed="false">
      <c r="B28" s="43" t="s">
        <v>215</v>
      </c>
      <c r="C28" s="49" t="s">
        <v>218</v>
      </c>
      <c r="D28" s="49" t="s">
        <v>219</v>
      </c>
    </row>
    <row r="29" customFormat="false" ht="15" hidden="false" customHeight="false" outlineLevel="0" collapsed="false">
      <c r="B29" s="43" t="s">
        <v>215</v>
      </c>
      <c r="C29" s="49" t="s">
        <v>220</v>
      </c>
      <c r="D29" s="49" t="s">
        <v>221</v>
      </c>
    </row>
    <row r="30" customFormat="false" ht="15" hidden="false" customHeight="false" outlineLevel="0" collapsed="false">
      <c r="B30" s="43" t="s">
        <v>222</v>
      </c>
      <c r="C30" s="49" t="s">
        <v>223</v>
      </c>
      <c r="D30" s="49" t="s">
        <v>224</v>
      </c>
    </row>
    <row r="31" customFormat="false" ht="15" hidden="false" customHeight="false" outlineLevel="0" collapsed="false">
      <c r="B31" s="43" t="s">
        <v>225</v>
      </c>
      <c r="C31" s="49" t="s">
        <v>226</v>
      </c>
      <c r="D31" s="49" t="s">
        <v>227</v>
      </c>
    </row>
    <row r="33" customFormat="false" ht="24" hidden="false" customHeight="true" outlineLevel="0" collapsed="false">
      <c r="A33" s="6" t="s">
        <v>32</v>
      </c>
      <c r="B33" s="6"/>
      <c r="C33" s="6"/>
      <c r="D33" s="6"/>
      <c r="E33" s="6"/>
      <c r="F33" s="6"/>
    </row>
    <row r="34" customFormat="false" ht="15" hidden="false" customHeight="false" outlineLevel="0" collapsed="false">
      <c r="B34" s="12" t="s">
        <v>228</v>
      </c>
    </row>
    <row r="35" customFormat="false" ht="15" hidden="false" customHeight="false" outlineLevel="0" collapsed="false">
      <c r="B35" s="12" t="s">
        <v>229</v>
      </c>
    </row>
    <row r="36" customFormat="false" ht="15" hidden="false" customHeight="false" outlineLevel="0" collapsed="false">
      <c r="B36" s="12" t="s">
        <v>230</v>
      </c>
    </row>
    <row r="37" customFormat="false" ht="15" hidden="false" customHeight="false" outlineLevel="0" collapsed="false">
      <c r="B37" s="12" t="s">
        <v>231</v>
      </c>
    </row>
    <row r="38" customFormat="false" ht="15" hidden="false" customHeight="false" outlineLevel="0" collapsed="false">
      <c r="B38" s="12" t="s">
        <v>232</v>
      </c>
    </row>
    <row r="40" customFormat="false" ht="33.75" hidden="false" customHeight="true" outlineLevel="0" collapsed="false">
      <c r="A40" s="54" t="s">
        <v>233</v>
      </c>
      <c r="B40" s="54"/>
      <c r="C40" s="54"/>
      <c r="D40" s="54"/>
      <c r="E40" s="54"/>
      <c r="F40" s="54"/>
    </row>
  </sheetData>
  <mergeCells count="9">
    <mergeCell ref="A1:D1"/>
    <mergeCell ref="E1:F1"/>
    <mergeCell ref="A2:F2"/>
    <mergeCell ref="A3:F3"/>
    <mergeCell ref="A4:F4"/>
    <mergeCell ref="A6:F6"/>
    <mergeCell ref="A21:F21"/>
    <mergeCell ref="A33:F33"/>
    <mergeCell ref="A40:F40"/>
  </mergeCells>
  <hyperlinks>
    <hyperlink ref="B34" r:id="rId1" display="Amazon Revenue Calculator (exact per-ASIN fee)"/>
    <hyperlink ref="B35" r:id="rId2" display="Amazon 2026 US FBA fulfillment fee changes"/>
    <hyperlink ref="B36" r:id="rId3" display="Feedvisor 2026 referral fee table"/>
    <hyperlink ref="B37" r:id="rId4" display="Repricer Express 2026 FBA fee guide"/>
    <hyperlink ref="B38" r:id="rId5" display="TidyPayouts free seller tools"/>
  </hyperlink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&amp;K6e6e73TidyPayouts · Free seller spreadsheet&amp;R&amp;8 &amp;K6e6e73Page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2026-10-27T00:41:11Z</dcterms:created>
  <dc:creator>TidyPayouts</dc:creator>
  <dc:description>Free TidyPayouts seller spreadsheet for product margin, break-even and 12-month profit.</dc:description>
  <cp:keywords>product margin calculator Amazon FBA profit landed cost TidyPayouts</cp:keywords>
  <dc:language>en-US</dc:language>
  <cp:lastModifiedBy/>
  <dcterms:modified xsi:type="dcterms:W3CDTF">2026-10-26T20:41:14Z</dcterms:modified>
  <cp:revision>1</cp:revision>
  <dc:subject>Unit economics and 12-month product profitability</dc:subject>
  <dc:title>Product Profit Margin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